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ustomProperty1.bin" ContentType="application/vnd.openxmlformats-officedocument.spreadsheetml.customProperty"/>
  <Override PartName="/xl/drawings/drawing7.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rv\Departments\Taxation\Corporate Affairs\Board Meeting\171st BOD-- 1st Quarter Financial Review-- Held on 22 October 2021\Working papers for Directors\Agenda Item No. 5\4. Pakistan Income Enhancement Fund\"/>
    </mc:Choice>
  </mc:AlternateContent>
  <bookViews>
    <workbookView xWindow="0" yWindow="0" windowWidth="23040" windowHeight="9195" tabRatio="853" activeTab="9"/>
  </bookViews>
  <sheets>
    <sheet name="BS" sheetId="2" r:id="rId1"/>
    <sheet name="IS" sheetId="3" r:id="rId2"/>
    <sheet name="Sheet1" sheetId="37" state="hidden" r:id="rId3"/>
    <sheet name="OCI" sheetId="4" r:id="rId4"/>
    <sheet name="DS" sheetId="5" state="hidden" r:id="rId5"/>
    <sheet name="UHF" sheetId="6" state="hidden" r:id="rId6"/>
    <sheet name="CF" sheetId="7" state="hidden" r:id="rId7"/>
    <sheet name="UHF-NEW" sheetId="19" r:id="rId8"/>
    <sheet name="UHF-NEW (2)" sheetId="32" state="hidden" r:id="rId9"/>
    <sheet name="Cashflow" sheetId="22" r:id="rId10"/>
    <sheet name="Cashflow (2)" sheetId="34" state="hidden" r:id="rId11"/>
    <sheet name="1-4.1" sheetId="8" r:id="rId12"/>
    <sheet name="Note 6.1" sheetId="18" state="hidden" r:id="rId13"/>
    <sheet name="5.1" sheetId="45" state="hidden" r:id="rId14"/>
    <sheet name="5.2.1" sheetId="9" state="hidden" r:id="rId15"/>
    <sheet name="Sheet2" sheetId="47" state="hidden" r:id="rId16"/>
    <sheet name="5.3.1" sheetId="10" state="hidden" r:id="rId17"/>
    <sheet name="11-15" sheetId="12" state="hidden" r:id="rId18"/>
    <sheet name="5.4" sheetId="38" state="hidden" r:id="rId19"/>
    <sheet name="5.4.1" sheetId="46" state="hidden" r:id="rId20"/>
    <sheet name="5.5" sheetId="44" state="hidden" r:id="rId21"/>
    <sheet name="Note 9-14" sheetId="27" state="hidden" r:id="rId22"/>
    <sheet name="Form 7" sheetId="35" state="hidden" r:id="rId23"/>
    <sheet name="Unrealized Working" sheetId="16" state="hidden" r:id="rId24"/>
    <sheet name="14-17" sheetId="14" state="hidden" r:id="rId25"/>
    <sheet name="26-27" sheetId="15" state="hidden" r:id="rId26"/>
    <sheet name="15" sheetId="39" state="hidden" r:id="rId27"/>
    <sheet name="SMA" sheetId="55" state="hidden" r:id="rId28"/>
    <sheet name="Executive" sheetId="53" state="hidden" r:id="rId29"/>
    <sheet name="Associate" sheetId="54" state="hidden" r:id="rId30"/>
    <sheet name="15.1-15.2" sheetId="40" state="hidden" r:id="rId31"/>
    <sheet name="16-16.1" sheetId="41" state="hidden" r:id="rId32"/>
    <sheet name="13.2" sheetId="13" state="hidden" r:id="rId33"/>
    <sheet name="TB 18" sheetId="36" state="hidden" r:id="rId34"/>
    <sheet name="Lead" sheetId="1" state="hidden" r:id="rId35"/>
    <sheet name="FRM PIB" sheetId="28" state="hidden" r:id="rId36"/>
    <sheet name="FRM tbills" sheetId="29" state="hidden" r:id="rId37"/>
    <sheet name="Element Bifurcation" sheetId="17" state="hidden" r:id="rId38"/>
    <sheet name="Tickmarks7-13-2018 1.12.53 PM" sheetId="23" state="hidden" r:id="rId39"/>
    <sheet name="RNotes7-13-2018 1.12.53 PM" sheetId="24" state="hidden" r:id="rId40"/>
    <sheet name="TextXRef7-13-2018 1.12.53 PM" sheetId="25" state="hidden" r:id="rId41"/>
    <sheet name="NumXRef7-13-2018 1.12.53 PM" sheetId="26" state="hidden" r:id="rId42"/>
    <sheet name="Sheet3" sheetId="48" state="hidden" r:id="rId43"/>
    <sheet name="Sheet3 (2)" sheetId="50" state="hidden" r:id="rId44"/>
    <sheet name="UHA Working" sheetId="49" state="hidden" r:id="rId45"/>
    <sheet name="corrected pief" sheetId="52" state="hidden" r:id="rId46"/>
  </sheets>
  <externalReferences>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s>
  <definedNames>
    <definedName name="\a">#REF!</definedName>
    <definedName name="\b">#REF!</definedName>
    <definedName name="\c">#REF!</definedName>
    <definedName name="\d">#REF!</definedName>
    <definedName name="\e">#REF!</definedName>
    <definedName name="\i">#REF!</definedName>
    <definedName name="\l">#REF!</definedName>
    <definedName name="\m">#REF!</definedName>
    <definedName name="\mansoor">#REF!</definedName>
    <definedName name="\n">#REF!</definedName>
    <definedName name="\o">#REF!</definedName>
    <definedName name="\q">#REF!</definedName>
    <definedName name="\R">'[1]last qrt2001'!#REF!</definedName>
    <definedName name="\S">'[1]last qrt2001'!#REF!</definedName>
    <definedName name="\T">'[2]Notes1-5(old)'!#REF!</definedName>
    <definedName name="\z">#REF!</definedName>
    <definedName name="________________ASS2">#REF!</definedName>
    <definedName name="_______________ASS2">#REF!</definedName>
    <definedName name="_____________ASH1">[3]Sheet4!$B$524:$E$625</definedName>
    <definedName name="_____________ASH2">[3]Sheet4!$P$422:$Q$523</definedName>
    <definedName name="_____________ASS1">#REF!</definedName>
    <definedName name="_____________ASS2">#REF!</definedName>
    <definedName name="_____________EPZ1">[3]Sheet4!$F$428:$F$519</definedName>
    <definedName name="_____________EPZ2">[3]Sheet4!$S$326:$S$417</definedName>
    <definedName name="_____________LIA1">#REF!</definedName>
    <definedName name="_____________LIA2">#REF!</definedName>
    <definedName name="_____________PL1">#REF!</definedName>
    <definedName name="_____________PL2">#REF!</definedName>
    <definedName name="_____________PP2">#REF!</definedName>
    <definedName name="_____________PP3">#REF!</definedName>
    <definedName name="_____________REC1999">'[4]RC-0997'!$B$132:$Q$171</definedName>
    <definedName name="_____________UAE1">[3]Sheet4!$D$116:$D$207</definedName>
    <definedName name="_____________UAE2">[3]Sheet4!$Q$14:$Q$105</definedName>
    <definedName name="_____________UK1">[3]Sheet4!$F$324:$F$415</definedName>
    <definedName name="_____________UK2">[3]Sheet4!$S$222:$S$313</definedName>
    <definedName name="_____________USA1">[3]Sheet4!$D$428:$D$519</definedName>
    <definedName name="_____________USA2">[3]Sheet4!$Q$326:$Q$417</definedName>
    <definedName name="____________ASH1">[3]Sheet4!$B$524:$E$625</definedName>
    <definedName name="____________ASH2">[3]Sheet4!$P$422:$Q$523</definedName>
    <definedName name="____________ASS1">#REF!</definedName>
    <definedName name="____________ASS2">#REF!</definedName>
    <definedName name="____________EPZ1">[3]Sheet4!$F$428:$F$519</definedName>
    <definedName name="____________EPZ2">[3]Sheet4!$S$326:$S$417</definedName>
    <definedName name="____________LIA1">#REF!</definedName>
    <definedName name="____________LIA2">#REF!</definedName>
    <definedName name="____________PL1">#REF!</definedName>
    <definedName name="____________PL2">#REF!</definedName>
    <definedName name="____________PP2">#REF!</definedName>
    <definedName name="____________PP3">#REF!</definedName>
    <definedName name="____________REC1999">'[4]RC-0997'!$B$132:$Q$171</definedName>
    <definedName name="____________UAE1">[3]Sheet4!$D$116:$D$207</definedName>
    <definedName name="____________UAE2">[3]Sheet4!$Q$14:$Q$105</definedName>
    <definedName name="____________UK1">[3]Sheet4!$F$324:$F$415</definedName>
    <definedName name="____________UK2">[3]Sheet4!$S$222:$S$313</definedName>
    <definedName name="____________USA1">[3]Sheet4!$D$428:$D$519</definedName>
    <definedName name="____________USA2">[3]Sheet4!$Q$326:$Q$417</definedName>
    <definedName name="___________ASH1">[3]Sheet4!$B$524:$E$625</definedName>
    <definedName name="___________ASH2">[3]Sheet4!$P$422:$Q$523</definedName>
    <definedName name="___________ASS1">#REF!</definedName>
    <definedName name="___________EPZ1">[3]Sheet4!$F$428:$F$519</definedName>
    <definedName name="___________EPZ2">[3]Sheet4!$S$326:$S$417</definedName>
    <definedName name="___________LIA1">#REF!</definedName>
    <definedName name="___________LIA2">#REF!</definedName>
    <definedName name="___________PL1">#REF!</definedName>
    <definedName name="___________PL2">#REF!</definedName>
    <definedName name="___________PP2">#REF!</definedName>
    <definedName name="___________PP3">#REF!</definedName>
    <definedName name="___________REC1999">'[4]RC-0997'!$B$132:$Q$171</definedName>
    <definedName name="___________UAE1">[3]Sheet4!$D$116:$D$207</definedName>
    <definedName name="___________UAE2">[3]Sheet4!$Q$14:$Q$105</definedName>
    <definedName name="___________UK1">[3]Sheet4!$F$324:$F$415</definedName>
    <definedName name="___________UK2">[3]Sheet4!$S$222:$S$313</definedName>
    <definedName name="___________USA1">[3]Sheet4!$D$428:$D$519</definedName>
    <definedName name="___________USA2">[3]Sheet4!$Q$326:$Q$417</definedName>
    <definedName name="__________ASH1">[3]Sheet4!$B$524:$E$625</definedName>
    <definedName name="__________ASH2">[3]Sheet4!$P$422:$Q$523</definedName>
    <definedName name="__________ASS1">#REF!</definedName>
    <definedName name="__________ASS2">#REF!</definedName>
    <definedName name="__________EPZ1">[3]Sheet4!$F$428:$F$519</definedName>
    <definedName name="__________EPZ2">[3]Sheet4!$S$326:$S$417</definedName>
    <definedName name="__________LIA1">#REF!</definedName>
    <definedName name="__________LIA2">#REF!</definedName>
    <definedName name="__________PL1">#REF!</definedName>
    <definedName name="__________PL2">#REF!</definedName>
    <definedName name="__________PP2">#REF!</definedName>
    <definedName name="__________PP3">#REF!</definedName>
    <definedName name="__________REC1999">'[4]RC-0997'!$B$132:$Q$171</definedName>
    <definedName name="__________UAE1">[3]Sheet4!$D$116:$D$207</definedName>
    <definedName name="__________UAE2">[3]Sheet4!$Q$14:$Q$105</definedName>
    <definedName name="__________UK1">[3]Sheet4!$F$324:$F$415</definedName>
    <definedName name="__________UK2">[3]Sheet4!$S$222:$S$313</definedName>
    <definedName name="__________USA1">[3]Sheet4!$D$428:$D$519</definedName>
    <definedName name="__________USA2">[3]Sheet4!$Q$326:$Q$417</definedName>
    <definedName name="_________ASH1">[3]Sheet4!$B$524:$E$625</definedName>
    <definedName name="_________ASH2">[3]Sheet4!$P$422:$Q$523</definedName>
    <definedName name="_________ASS1">#REF!</definedName>
    <definedName name="_________ASS2">#REF!</definedName>
    <definedName name="_________EPZ1">[3]Sheet4!$F$428:$F$519</definedName>
    <definedName name="_________EPZ2">[3]Sheet4!$S$326:$S$417</definedName>
    <definedName name="_________LIA1">#REF!</definedName>
    <definedName name="_________LIA2">#REF!</definedName>
    <definedName name="_________PL1">#REF!</definedName>
    <definedName name="_________PL2">#REF!</definedName>
    <definedName name="_________PP2">#REF!</definedName>
    <definedName name="_________PP3">#REF!</definedName>
    <definedName name="_________REC1999">'[4]RC-0997'!$B$132:$Q$171</definedName>
    <definedName name="_________UAE1">[3]Sheet4!$D$116:$D$207</definedName>
    <definedName name="_________UAE2">[3]Sheet4!$Q$14:$Q$105</definedName>
    <definedName name="_________UK1">[3]Sheet4!$F$324:$F$415</definedName>
    <definedName name="_________UK2">[3]Sheet4!$S$222:$S$313</definedName>
    <definedName name="_________USA1">[3]Sheet4!$D$428:$D$519</definedName>
    <definedName name="_________USA2">[3]Sheet4!$Q$326:$Q$417</definedName>
    <definedName name="________ASH1">[3]Sheet4!$B$524:$E$625</definedName>
    <definedName name="________ASH2">[3]Sheet4!$P$422:$Q$523</definedName>
    <definedName name="________ASS1">#REF!</definedName>
    <definedName name="________ASS2">#REF!</definedName>
    <definedName name="________EPZ1">[3]Sheet4!$F$428:$F$519</definedName>
    <definedName name="________EPZ2">[3]Sheet4!$S$326:$S$417</definedName>
    <definedName name="________jun99">'[5]PUR&amp;SAL'!#REF!</definedName>
    <definedName name="________LIA1">#REF!</definedName>
    <definedName name="________LIA2">#REF!</definedName>
    <definedName name="________PL1">#REF!</definedName>
    <definedName name="________PL2">#REF!</definedName>
    <definedName name="________PP2">#REF!</definedName>
    <definedName name="________PP3">#REF!</definedName>
    <definedName name="________REC1999">'[4]RC-0997'!$B$132:$Q$171</definedName>
    <definedName name="________SEC107">#REF!</definedName>
    <definedName name="________UAE1">[3]Sheet4!$D$116:$D$207</definedName>
    <definedName name="________UAE2">[3]Sheet4!$Q$14:$Q$105</definedName>
    <definedName name="________UK1">[3]Sheet4!$F$324:$F$415</definedName>
    <definedName name="________UK2">[3]Sheet4!$S$222:$S$313</definedName>
    <definedName name="________USA1">[3]Sheet4!$D$428:$D$519</definedName>
    <definedName name="________USA2">[3]Sheet4!$Q$326:$Q$417</definedName>
    <definedName name="________ws1">'[6]Revenue-Fire-Marine-Motor'!#REF!</definedName>
    <definedName name="_______ASH1">[3]Sheet4!$B$524:$E$625</definedName>
    <definedName name="_______ASH2">[3]Sheet4!$P$422:$Q$523</definedName>
    <definedName name="_______ASS1">#REF!</definedName>
    <definedName name="_______ASS2">#REF!</definedName>
    <definedName name="_______EPZ1">[3]Sheet4!$F$428:$F$519</definedName>
    <definedName name="_______EPZ2">[3]Sheet4!$S$326:$S$417</definedName>
    <definedName name="_______jun99">'[5]PUR&amp;SAL'!#REF!</definedName>
    <definedName name="_______LIA1">#REF!</definedName>
    <definedName name="_______LIA2">#REF!</definedName>
    <definedName name="_______PL1">#REF!</definedName>
    <definedName name="_______PL2">#REF!</definedName>
    <definedName name="_______PP2">#REF!</definedName>
    <definedName name="_______PP3">#REF!</definedName>
    <definedName name="_______REC1999">'[4]RC-0997'!$B$132:$Q$171</definedName>
    <definedName name="_______SEC107">#REF!</definedName>
    <definedName name="_______UAE1">[3]Sheet4!$D$116:$D$207</definedName>
    <definedName name="_______UAE2">[3]Sheet4!$Q$14:$Q$105</definedName>
    <definedName name="_______UK1">[3]Sheet4!$F$324:$F$415</definedName>
    <definedName name="_______UK2">[3]Sheet4!$S$222:$S$313</definedName>
    <definedName name="_______USA1">[3]Sheet4!$D$428:$D$519</definedName>
    <definedName name="_______USA2">[3]Sheet4!$Q$326:$Q$417</definedName>
    <definedName name="_______ws1">'[6]Revenue-Fire-Marine-Motor'!#REF!</definedName>
    <definedName name="______ASH1">[3]Sheet4!$B$524:$E$625</definedName>
    <definedName name="______ASH2">[3]Sheet4!$P$422:$Q$523</definedName>
    <definedName name="______ASS1">#REF!</definedName>
    <definedName name="______ASS2">#REF!</definedName>
    <definedName name="______EPZ1">[3]Sheet4!$F$428:$F$519</definedName>
    <definedName name="______EPZ2">[3]Sheet4!$S$326:$S$417</definedName>
    <definedName name="______jun99">'[5]PUR&amp;SAL'!#REF!</definedName>
    <definedName name="______LIA1">#REF!</definedName>
    <definedName name="______LIA2">#REF!</definedName>
    <definedName name="______PL1">#REF!</definedName>
    <definedName name="______PL2">#REF!</definedName>
    <definedName name="______PP2">#REF!</definedName>
    <definedName name="______PP3">#REF!</definedName>
    <definedName name="______REC1999">'[4]RC-0997'!$B$132:$Q$171</definedName>
    <definedName name="______SEC107">#REF!</definedName>
    <definedName name="______UAE1">[3]Sheet4!$D$116:$D$207</definedName>
    <definedName name="______UAE2">[3]Sheet4!$Q$14:$Q$105</definedName>
    <definedName name="______UK1">[3]Sheet4!$F$324:$F$415</definedName>
    <definedName name="______UK2">[3]Sheet4!$S$222:$S$313</definedName>
    <definedName name="______USA1">[3]Sheet4!$D$428:$D$519</definedName>
    <definedName name="______USA2">[3]Sheet4!$Q$326:$Q$417</definedName>
    <definedName name="______ws1">'[6]Revenue-Fire-Marine-Motor'!#REF!</definedName>
    <definedName name="_____ASH1">[3]Sheet4!$B$524:$E$625</definedName>
    <definedName name="_____ASH2">[3]Sheet4!$P$422:$Q$523</definedName>
    <definedName name="_____ASS1">#REF!</definedName>
    <definedName name="_____ASS2">#REF!</definedName>
    <definedName name="_____EPZ1">[3]Sheet4!$F$428:$F$519</definedName>
    <definedName name="_____EPZ2">[3]Sheet4!$S$326:$S$417</definedName>
    <definedName name="_____jun99">'[5]PUR&amp;SAL'!#REF!</definedName>
    <definedName name="_____LIA1">#REF!</definedName>
    <definedName name="_____LIA2">#REF!</definedName>
    <definedName name="_____PL1">#REF!</definedName>
    <definedName name="_____PL2">#REF!</definedName>
    <definedName name="_____PP2">#REF!</definedName>
    <definedName name="_____PP3">#REF!</definedName>
    <definedName name="_____REC1999">'[4]RC-0997'!$B$132:$Q$171</definedName>
    <definedName name="_____SEC107">#REF!</definedName>
    <definedName name="_____UAE1">[3]Sheet4!$D$116:$D$207</definedName>
    <definedName name="_____UAE2">[3]Sheet4!$Q$14:$Q$105</definedName>
    <definedName name="_____UK1">[3]Sheet4!$F$324:$F$415</definedName>
    <definedName name="_____UK2">[3]Sheet4!$S$222:$S$313</definedName>
    <definedName name="_____USA1">[3]Sheet4!$D$428:$D$519</definedName>
    <definedName name="_____USA2">[3]Sheet4!$Q$326:$Q$417</definedName>
    <definedName name="_____ws1">'[6]Revenue-Fire-Marine-Motor'!#REF!</definedName>
    <definedName name="____ASH1">[3]Sheet4!$B$524:$E$625</definedName>
    <definedName name="____ASH2">[3]Sheet4!$P$422:$Q$523</definedName>
    <definedName name="____ASS1">#REF!</definedName>
    <definedName name="____ASS2">#REF!</definedName>
    <definedName name="____EPZ1">[3]Sheet4!$F$428:$F$519</definedName>
    <definedName name="____EPZ2">[3]Sheet4!$S$326:$S$417</definedName>
    <definedName name="____jun99">'[5]PUR&amp;SAL'!#REF!</definedName>
    <definedName name="____LIA1">#REF!</definedName>
    <definedName name="____LIA2">#REF!</definedName>
    <definedName name="____PL1">#REF!</definedName>
    <definedName name="____PL2">#REF!</definedName>
    <definedName name="____PP2">#REF!</definedName>
    <definedName name="____PP3">#REF!</definedName>
    <definedName name="____REC1999">'[4]RC-0997'!$B$132:$Q$171</definedName>
    <definedName name="____SEC107">#REF!</definedName>
    <definedName name="____UAE1">[3]Sheet4!$D$116:$D$207</definedName>
    <definedName name="____UAE2">[3]Sheet4!$Q$14:$Q$105</definedName>
    <definedName name="____UK1">[3]Sheet4!$F$324:$F$415</definedName>
    <definedName name="____UK2">[3]Sheet4!$S$222:$S$313</definedName>
    <definedName name="____USA1">[3]Sheet4!$D$428:$D$519</definedName>
    <definedName name="____USA2">[3]Sheet4!$Q$326:$Q$417</definedName>
    <definedName name="____ws1">'[6]Revenue-Fire-Marine-Motor'!#REF!</definedName>
    <definedName name="___ASH1">[3]Sheet4!$B$524:$E$625</definedName>
    <definedName name="___ASH2">[3]Sheet4!$P$422:$Q$523</definedName>
    <definedName name="___ASS1">#REF!</definedName>
    <definedName name="___ASS2">#REF!</definedName>
    <definedName name="___EPZ1">[3]Sheet4!$F$428:$F$519</definedName>
    <definedName name="___EPZ2">[3]Sheet4!$S$326:$S$417</definedName>
    <definedName name="___jun99">'[5]PUR&amp;SAL'!#REF!</definedName>
    <definedName name="___LIA1">#REF!</definedName>
    <definedName name="___LIA2">#REF!</definedName>
    <definedName name="___PL1">#REF!</definedName>
    <definedName name="___PL2">#REF!</definedName>
    <definedName name="___PP2">#REF!</definedName>
    <definedName name="___PP3">#REF!</definedName>
    <definedName name="___REC1999">'[4]RC-0997'!$B$132:$Q$171</definedName>
    <definedName name="___SEC107">#REF!</definedName>
    <definedName name="___UAE1">[3]Sheet4!$D$116:$D$207</definedName>
    <definedName name="___UAE2">[3]Sheet4!$Q$14:$Q$105</definedName>
    <definedName name="___UK1">[3]Sheet4!$F$324:$F$415</definedName>
    <definedName name="___UK2">[3]Sheet4!$S$222:$S$313</definedName>
    <definedName name="___USA1">[3]Sheet4!$D$428:$D$519</definedName>
    <definedName name="___USA2">[3]Sheet4!$Q$326:$Q$417</definedName>
    <definedName name="___ws1">'[6]Revenue-Fire-Marine-Motor'!#REF!</definedName>
    <definedName name="__ASH1">[3]Sheet4!$B$524:$E$625</definedName>
    <definedName name="__ASH2">[3]Sheet4!$P$422:$Q$523</definedName>
    <definedName name="__ASS1">#REF!</definedName>
    <definedName name="__ASS2">#REF!</definedName>
    <definedName name="__EPZ1">[3]Sheet4!$F$428:$F$519</definedName>
    <definedName name="__EPZ2">[3]Sheet4!$S$326:$S$417</definedName>
    <definedName name="__jun99">'[5]PUR&amp;SAL'!#REF!</definedName>
    <definedName name="__LIA1">#REF!</definedName>
    <definedName name="__LIA2">#REF!</definedName>
    <definedName name="__PL1">#REF!</definedName>
    <definedName name="__PL2">#REF!</definedName>
    <definedName name="__PP2">#REF!</definedName>
    <definedName name="__PP3">#REF!</definedName>
    <definedName name="__REC1999">'[4]RC-0997'!$B$132:$Q$171</definedName>
    <definedName name="__SEC107">#REF!</definedName>
    <definedName name="__UAE1">[3]Sheet4!$D$116:$D$207</definedName>
    <definedName name="__UAE2">[3]Sheet4!$Q$14:$Q$105</definedName>
    <definedName name="__UK1">[3]Sheet4!$F$324:$F$415</definedName>
    <definedName name="__UK2">[3]Sheet4!$S$222:$S$313</definedName>
    <definedName name="__USA1">[3]Sheet4!$D$428:$D$519</definedName>
    <definedName name="__USA2">[3]Sheet4!$Q$326:$Q$417</definedName>
    <definedName name="__ws1">'[6]Revenue-Fire-Marine-Motor'!#REF!</definedName>
    <definedName name="_1">#REF!</definedName>
    <definedName name="_1.1">#REF!</definedName>
    <definedName name="_1.2">'[7]Abu Dhabi'!#REF!</definedName>
    <definedName name="_10">#REF!</definedName>
    <definedName name="_107A">#REF!</definedName>
    <definedName name="_11">#REF!</definedName>
    <definedName name="_12">#REF!</definedName>
    <definedName name="_13">#REF!</definedName>
    <definedName name="_14">#REF!</definedName>
    <definedName name="_15">#REF!</definedName>
    <definedName name="_16">#REF!</definedName>
    <definedName name="_17">#REF!</definedName>
    <definedName name="_18">#REF!</definedName>
    <definedName name="_19">#REF!</definedName>
    <definedName name="_2">#REF!</definedName>
    <definedName name="_2.1">#REF!</definedName>
    <definedName name="_2.2">'[7]Abu Dhabi'!#REF!</definedName>
    <definedName name="_20">#REF!</definedName>
    <definedName name="_21">#REF!</definedName>
    <definedName name="_3">#REF!</definedName>
    <definedName name="_3.1">[3]Sheet4!$A$110</definedName>
    <definedName name="_3.2">[3]Sheet4!$O$8</definedName>
    <definedName name="_3.3">'[8]LS-UAE'!#REF!</definedName>
    <definedName name="_4">#REF!</definedName>
    <definedName name="_4.1">[3]Sheet4!$A$214</definedName>
    <definedName name="_4.2">[3]Sheet4!$O$112</definedName>
    <definedName name="_5">#REF!</definedName>
    <definedName name="_5.1">[3]Sheet4!$A$318</definedName>
    <definedName name="_5.2">[3]Sheet4!$O$216</definedName>
    <definedName name="_6">#REF!</definedName>
    <definedName name="_6.1">[3]Sheet4!$A$422</definedName>
    <definedName name="_6.2">[3]Sheet4!$O$320</definedName>
    <definedName name="_7">#REF!</definedName>
    <definedName name="_7.1">[3]Sheet4!$A$526</definedName>
    <definedName name="_7.2">[3]Sheet4!$O$424</definedName>
    <definedName name="_8">#REF!</definedName>
    <definedName name="_9">#REF!</definedName>
    <definedName name="_ASH1">[3]Sheet4!$B$524:$E$625</definedName>
    <definedName name="_ASH2">[3]Sheet4!$P$422:$Q$523</definedName>
    <definedName name="_ASS1">#REF!</definedName>
    <definedName name="_ASS2">#REF!</definedName>
    <definedName name="_df" hidden="1">#REF!</definedName>
    <definedName name="_EPZ1">[3]Sheet4!$F$428:$F$519</definedName>
    <definedName name="_EPZ2">[3]Sheet4!$S$326:$S$417</definedName>
    <definedName name="_Fill" hidden="1">#REF!</definedName>
    <definedName name="_xlnm._FilterDatabase" localSheetId="42" hidden="1">Sheet3!$A$2:$E$173</definedName>
    <definedName name="_xlnm._FilterDatabase" localSheetId="33" hidden="1">'TB 18'!$A$2:$D$183</definedName>
    <definedName name="_hg65656" hidden="1">#REF!</definedName>
    <definedName name="_jun99">'[5]PUR&amp;SAL'!#REF!</definedName>
    <definedName name="_Key1" hidden="1">#REF!</definedName>
    <definedName name="_Key2" hidden="1">#REF!</definedName>
    <definedName name="_koi" hidden="1">#REF!</definedName>
    <definedName name="_LIA1">#REF!</definedName>
    <definedName name="_LIA2">#REF!</definedName>
    <definedName name="_LN2">#REF!</definedName>
    <definedName name="_Order1" hidden="1">255</definedName>
    <definedName name="_Order2" hidden="1">255</definedName>
    <definedName name="_PL1">#REF!</definedName>
    <definedName name="_PL2">#REF!</definedName>
    <definedName name="_PP2">#REF!</definedName>
    <definedName name="_PP3">#REF!</definedName>
    <definedName name="_REC1999">'[4]RC-0997'!$B$132:$Q$171</definedName>
    <definedName name="_Regression_X" hidden="1">#REF!</definedName>
    <definedName name="_SEC107">#REF!</definedName>
    <definedName name="_Sort" hidden="1">#REF!</definedName>
    <definedName name="_UAE1">[3]Sheet4!$D$116:$D$207</definedName>
    <definedName name="_UAE2">[3]Sheet4!$Q$14:$Q$105</definedName>
    <definedName name="_UK1">[3]Sheet4!$F$324:$F$415</definedName>
    <definedName name="_UK2">[3]Sheet4!$S$222:$S$313</definedName>
    <definedName name="_USA1">[3]Sheet4!$D$428:$D$519</definedName>
    <definedName name="_USA2">[3]Sheet4!$Q$326:$Q$417</definedName>
    <definedName name="_ws1">'[6]Revenue-Fire-Marine-Motor'!#REF!</definedName>
    <definedName name="a">#REF!</definedName>
    <definedName name="aa">#REF!</definedName>
    <definedName name="aaa">#REF!</definedName>
    <definedName name="AB">#REF!</definedName>
    <definedName name="abc">#REF!</definedName>
    <definedName name="abcd">#REF!</definedName>
    <definedName name="Abid">#REF!</definedName>
    <definedName name="AC">#REF!</definedName>
    <definedName name="Acc.Code">#REF!</definedName>
    <definedName name="ACCIDENTPREMIUMCURRENT">#REF!</definedName>
    <definedName name="Act_Date">#REF!</definedName>
    <definedName name="Act_FullScreen">#REF!</definedName>
    <definedName name="Act_It">#REF!</definedName>
    <definedName name="Act_Name">#REF!</definedName>
    <definedName name="Act_Obj">#REF!</definedName>
    <definedName name="Act_Obj_Comp">#REF!</definedName>
    <definedName name="Act_Obj_PwC_Example">#REF!</definedName>
    <definedName name="Act_PM">#REF!</definedName>
    <definedName name="Act_Total">#REF!</definedName>
    <definedName name="ad">[9]A!$Q$604:$Q$639</definedName>
    <definedName name="ADDITIONS">#REF!</definedName>
    <definedName name="Admin">#REF!</definedName>
    <definedName name="ADV">[10]acct!#REF!</definedName>
    <definedName name="affair">[11]BSDOMOVS!#REF!</definedName>
    <definedName name="AMIN">#REF!</definedName>
    <definedName name="Amount">#REF!</definedName>
    <definedName name="APAGE1">#REF!</definedName>
    <definedName name="APAGE2">#REF!</definedName>
    <definedName name="APAGE3">#REF!</definedName>
    <definedName name="APAGE4">#REF!</definedName>
    <definedName name="ARA_Threshold">#REF!</definedName>
    <definedName name="ARA_Threshold_1">#REF!</definedName>
    <definedName name="ARA_Threshold_20">#REF!</definedName>
    <definedName name="ARA_Threshold_21">#REF!</definedName>
    <definedName name="ARA_Threshold_23">#REF!</definedName>
    <definedName name="ARA_Threshold_5">#REF!</definedName>
    <definedName name="ARA_Threshold_8">#REF!</definedName>
    <definedName name="ARP_Threshold">#REF!</definedName>
    <definedName name="ARP_Threshold_1">#REF!</definedName>
    <definedName name="ARP_Threshold_20">#REF!</definedName>
    <definedName name="ARP_Threshold_21">#REF!</definedName>
    <definedName name="ARP_Threshold_23">#REF!</definedName>
    <definedName name="ARP_Threshold_5">#REF!</definedName>
    <definedName name="ARP_Threshold_8">#REF!</definedName>
    <definedName name="as" hidden="1">{"PAGE1",#N/A,FALSE,"Sheet1";"PAGE2",#N/A,FALSE,"Sheet1"}</definedName>
    <definedName name="AS2DocOpenMode" hidden="1">"AS2DocumentEdit"</definedName>
    <definedName name="AS2LinkLS" hidden="1">#REF!</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gar">#REF!</definedName>
    <definedName name="ASHRAF">#REF!</definedName>
    <definedName name="ASSE">'[7]Abu Dhabi'!#REF!</definedName>
    <definedName name="ASSET1">#REF!</definedName>
    <definedName name="ASSET2">#REF!</definedName>
    <definedName name="ASSET3">#REF!</definedName>
    <definedName name="ASSET4">#REF!</definedName>
    <definedName name="b">#REF!</definedName>
    <definedName name="BAHRAIN1">[3]Sheet4!$L$14:$L$105</definedName>
    <definedName name="BAHRAIN2">[3]Sheet4!$Y$14:$Y$105</definedName>
    <definedName name="bal" hidden="1">{"'CALL MONEY'!$K$53"}</definedName>
    <definedName name="balance">'[12]Revenue-Fire-Marine-Motor'!#REF!</definedName>
    <definedName name="balances" hidden="1">{"'CALL MONEY'!$K$53"}</definedName>
    <definedName name="BalanceSheetDates">#REF!</definedName>
    <definedName name="BALTIT">'[13]Fin Stats'!$A$29</definedName>
    <definedName name="BB">#REF!</definedName>
    <definedName name="BBB">#REF!</definedName>
    <definedName name="Beg_Bal">#REF!</definedName>
    <definedName name="bela">#REF!</definedName>
    <definedName name="BELOW">#REF!</definedName>
    <definedName name="BG_Del" hidden="1">15</definedName>
    <definedName name="BG_Ins" hidden="1">4</definedName>
    <definedName name="BG_Mod" hidden="1">6</definedName>
    <definedName name="BOTTOM">#REF!</definedName>
    <definedName name="bs">#REF!</definedName>
    <definedName name="BSCOMB">#REF!</definedName>
    <definedName name="BuiltIn_AutoFilter___2">#REF!</definedName>
    <definedName name="BuiltIn_AutoFilter___2_1">#REF!</definedName>
    <definedName name="BuiltIn_AutoFilter___2_10">#REF!</definedName>
    <definedName name="BuiltIn_AutoFilter___2_11">#REF!</definedName>
    <definedName name="BuiltIn_AutoFilter___2_12">#REF!</definedName>
    <definedName name="BuiltIn_AutoFilter___2_13">#REF!</definedName>
    <definedName name="BuiltIn_AutoFilter___2_14">#REF!</definedName>
    <definedName name="BuiltIn_AutoFilter___2_15">#REF!</definedName>
    <definedName name="BuiltIn_AutoFilter___2_16">#REF!</definedName>
    <definedName name="BuiltIn_AutoFilter___2_20">#REF!</definedName>
    <definedName name="BuiltIn_AutoFilter___2_21">#REF!</definedName>
    <definedName name="BuiltIn_AutoFilter___2_23">#REF!</definedName>
    <definedName name="BuiltIn_AutoFilter___2_5">#REF!</definedName>
    <definedName name="BuiltIn_AutoFilter___2_6">#REF!</definedName>
    <definedName name="BuiltIn_AutoFilter___2_7">#REF!</definedName>
    <definedName name="BuiltIn_AutoFilter___2_8">#REF!</definedName>
    <definedName name="BuiltIn_AutoFilter___2_9">#REF!</definedName>
    <definedName name="BuiltIn_AutoFilter___8">#REF!</definedName>
    <definedName name="CALL">#REF!</definedName>
    <definedName name="call1">#REF!</definedName>
    <definedName name="Cashflow">#REF!</definedName>
    <definedName name="CC">'[7]Abu Dhabi'!#REF!</definedName>
    <definedName name="CF">#REF!</definedName>
    <definedName name="CH.IN.EQUIT">[10]acct!#REF!</definedName>
    <definedName name="cHECK">[10]acct!#REF!</definedName>
    <definedName name="checks">#REF!</definedName>
    <definedName name="chk">#REF!</definedName>
    <definedName name="ci">#REF!</definedName>
    <definedName name="CIs">#REF!</definedName>
    <definedName name="Classified">#REF!</definedName>
    <definedName name="closing">[14]BSDOMOVS!#REF!</definedName>
    <definedName name="CODE">#REF!</definedName>
    <definedName name="ColorNames">#REF!</definedName>
    <definedName name="COMP_OF_INCOME">#REF!</definedName>
    <definedName name="Company">'[15]Input-Qtrly'!$E$8</definedName>
    <definedName name="CONTROL">#REF!</definedName>
    <definedName name="Controlbs">#REF!</definedName>
    <definedName name="controlpl">#REF!</definedName>
    <definedName name="Conventions">#REF!</definedName>
    <definedName name="Cover" hidden="1">#REF!</definedName>
    <definedName name="CRED">[10]acct!#REF!</definedName>
    <definedName name="Currency">#REF!</definedName>
    <definedName name="current_ar">'[15]Input-Qtrly'!$F$16</definedName>
    <definedName name="current_assets">'[15]Input-Qtrly'!$F$22</definedName>
    <definedName name="current_bad_debt">'[15]Input-Qtrly'!$F$40</definedName>
    <definedName name="current_cash">'[15]Input-Qtrly'!$F$14</definedName>
    <definedName name="current_cfoper">'[15]Input-Qtrly'!$F$57</definedName>
    <definedName name="current_cogs">'[15]Input-Qtrly'!$F$35</definedName>
    <definedName name="current_comstock">'[15]Input-Qtrly'!$F$56</definedName>
    <definedName name="current_cr_sales">'[15]Input-Qtrly'!$F$32</definedName>
    <definedName name="current_current_assets">'[15]Input-Qtrly'!$F$20</definedName>
    <definedName name="current_current_liab">'[15]Input-Qtrly'!$F$24</definedName>
    <definedName name="current_days">'[15]Input-Qtrly'!$F$51</definedName>
    <definedName name="current_div">'[15]Input-Qtrly'!$F$58</definedName>
    <definedName name="current_doubtful">'[15]Input-Qtrly'!$F$17</definedName>
    <definedName name="current_empbeg">'[15]Input-Qtrly'!$F$52</definedName>
    <definedName name="current_empend">'[15]Input-Qtrly'!$F$53</definedName>
    <definedName name="current_eps">'[15]Input-Qtrly'!$F$55</definedName>
    <definedName name="current_equity">'[15]Input-Qtrly'!$F$28</definedName>
    <definedName name="current_interest">'[15]Input-Qtrly'!$F$39</definedName>
    <definedName name="current_inventory">'[15]Input-Qtrly'!$F$18</definedName>
    <definedName name="current_liabilities">'[15]Input-Qtrly'!$F$27</definedName>
    <definedName name="current_netincome">'[15]Input-Qtrly'!$F$45</definedName>
    <definedName name="current_netsales">'[15]Input-Qtrly'!$F$34</definedName>
    <definedName name="current_pretax">'[15]Input-Qtrly'!$F$43</definedName>
    <definedName name="current_price">'[15]Input-Qtrly'!$F$54</definedName>
    <definedName name="CURRENT_TAX">#REF!</definedName>
    <definedName name="currqtr_date">'[15]Input-Qtrly'!$F$48</definedName>
    <definedName name="CY_lik_Equity">#REF!</definedName>
    <definedName name="CY_lik_Income">#REF!</definedName>
    <definedName name="CY_lik_Liabs">#REF!</definedName>
    <definedName name="CY_lik_RetEarn_bf">#REF!</definedName>
    <definedName name="CY_tx_all_Equity">#REF!</definedName>
    <definedName name="CY_tx_all_Income">#REF!</definedName>
    <definedName name="CY_tx_all_Liabs">#REF!</definedName>
    <definedName name="CY_tx_all_RetEarn_bf">#REF!</definedName>
    <definedName name="CY_tx_knw_Equity">#REF!</definedName>
    <definedName name="CY_tx_knw_Income">#REF!</definedName>
    <definedName name="CY_tx_knw_Liabs">#REF!</definedName>
    <definedName name="CY_tx_knw_RetEarn_bf">#REF!</definedName>
    <definedName name="CY_tx_lik_Equity">#REF!</definedName>
    <definedName name="CY_tx_lik_Income">#REF!</definedName>
    <definedName name="CY_tx_lik_Liabs">#REF!</definedName>
    <definedName name="CY_tx_lik_RetEarn_bf">#REF!</definedName>
    <definedName name="CYPWACC">#REF!</definedName>
    <definedName name="CYPWENG">#REF!</definedName>
    <definedName name="CYPWFIRE">#REF!</definedName>
    <definedName name="CYPWMARCARGO">#REF!</definedName>
    <definedName name="CYPWMARHULL">#REF!</definedName>
    <definedName name="CYPWMARYACHT">#REF!</definedName>
    <definedName name="CYPWMOTOR">#REF!</definedName>
    <definedName name="CYUPRACC">#REF!</definedName>
    <definedName name="CYUPRENG">#REF!</definedName>
    <definedName name="CYUPRFIRE">#REF!</definedName>
    <definedName name="CYUPRMARCARGO">#REF!</definedName>
    <definedName name="CYUPRMARHULL">#REF!</definedName>
    <definedName name="CYUPRMARYACHT">#REF!</definedName>
    <definedName name="CYUPRMOTOR">#REF!</definedName>
    <definedName name="d">#REF!</definedName>
    <definedName name="da">#REF!</definedName>
    <definedName name="Data">#REF!</definedName>
    <definedName name="_xlnm.Database">#REF!</definedName>
    <definedName name="Database_MI">#REF!</definedName>
    <definedName name="DD">'[1]last qrt2001'!#REF!</definedName>
    <definedName name="DD_Curr">[16]Currency!$C$3</definedName>
    <definedName name="ddd">#REF!</definedName>
    <definedName name="dddd">'[17]BS-OVS'!#REF!</definedName>
    <definedName name="DEFERED_TAX">#REF!</definedName>
    <definedName name="dEFF.LIA">[10]acct!#REF!</definedName>
    <definedName name="DELETIONS">#REF!</definedName>
    <definedName name="Description">#REF!</definedName>
    <definedName name="Differences">#REF!</definedName>
    <definedName name="Differnces">'[18]Notes1-5'!#REF!</definedName>
    <definedName name="disposal">#REF!</definedName>
    <definedName name="djhkc">[19]Notes!#REF!</definedName>
    <definedName name="DOMOVS">#REF!</definedName>
    <definedName name="dPlanningMateriality">[20]Sheet1!$B$46</definedName>
    <definedName name="dr">#REF!</definedName>
    <definedName name="DSDSADSD" hidden="1">#REF!</definedName>
    <definedName name="dswef">#REF!</definedName>
    <definedName name="E">#REF!</definedName>
    <definedName name="End_Bal">#REF!</definedName>
    <definedName name="EPAGE1">#REF!</definedName>
    <definedName name="Equity">#REF!</definedName>
    <definedName name="Err_Add_Plus10">#REF!</definedName>
    <definedName name="Err_Box_AddSamp">#REF!</definedName>
    <definedName name="Err_Box_Rej">#REF!</definedName>
    <definedName name="Err_CellComments">#REF!</definedName>
    <definedName name="Err_Date_Check">#REF!</definedName>
    <definedName name="Err_Date_Numb">#REF!</definedName>
    <definedName name="Err_Date_Today">#REF!</definedName>
    <definedName name="Err_Empty">#REF!</definedName>
    <definedName name="Err_Eval_Blank">#REF!</definedName>
    <definedName name="Err_Fail_Verbiage">#REF!</definedName>
    <definedName name="Err_InfoCheck">#REF!</definedName>
    <definedName name="Err_NotesBox">#REF!</definedName>
    <definedName name="Err_Rand_1">#REF!</definedName>
    <definedName name="Err_Random">#REF!</definedName>
    <definedName name="Err_SampErr">#REF!</definedName>
    <definedName name="Err_StopCode">#REF!</definedName>
    <definedName name="Eval_btn">#REF!</definedName>
    <definedName name="Eval_btn_Ans">#REF!</definedName>
    <definedName name="Eval_MR">#REF!</definedName>
    <definedName name="Eval_Targ_T">#REF!</definedName>
    <definedName name="Eval_Text">#REF!</definedName>
    <definedName name="Eval_TM">#REF!</definedName>
    <definedName name="Eval_TTMR">#REF!</definedName>
    <definedName name="Excel_BuiltIn__FilterDatabase_3">[21]Documentation!#REF!</definedName>
    <definedName name="Excel_BuiltIn_Print_Area">#REF!</definedName>
    <definedName name="Excel_BuiltIn_Print_Area_8">#REF!</definedName>
    <definedName name="EXP">#REF!</definedName>
    <definedName name="EXPENSIVE_CARS">#REF!</definedName>
    <definedName name="Extra_Pay">#REF!</definedName>
    <definedName name="F">'[22]FINANCE CODE'!#REF!</definedName>
    <definedName name="f_name">'[23]A-C CODE &amp; NAME'!$B$1:$C$193</definedName>
    <definedName name="FA">[10]acct!#REF!</definedName>
    <definedName name="FC">#REF!</definedName>
    <definedName name="FDE">'[24]Notes1-5'!#REF!</definedName>
    <definedName name="FDF">'[25]CE-10th-June-06'!#REF!</definedName>
    <definedName name="ffff">Scheduled_Payment+Extra_Payment</definedName>
    <definedName name="fg">#REF!</definedName>
    <definedName name="FIBREPO">#REF!</definedName>
    <definedName name="FIBWON">#REF!</definedName>
    <definedName name="FIGURES">#REF!</definedName>
    <definedName name="FINASSET">[10]acct!#REF!</definedName>
    <definedName name="FIREPREMIUMCURRENT">#REF!</definedName>
    <definedName name="FORM">#REF!</definedName>
    <definedName name="FP_EU_0206__00246_04">#REF!</definedName>
    <definedName name="Frequency">'[26]Drop down'!$C$6:$C$13</definedName>
    <definedName name="FSA">#REF!</definedName>
    <definedName name="Full_Print">#REF!</definedName>
    <definedName name="G">#REF!</definedName>
    <definedName name="ggfgfg" hidden="1">{"'CALL MONEY'!$K$53"}</definedName>
    <definedName name="GGG">#REF!</definedName>
    <definedName name="ghu" hidden="1">#REF!</definedName>
    <definedName name="h">#REF!</definedName>
    <definedName name="HAaaa">Scheduled_Payment+Extra_Payment</definedName>
    <definedName name="Header_Row">ROW(#REF!)</definedName>
    <definedName name="hhjhjjjjjj">[27]Lead!#REF!</definedName>
    <definedName name="highlights">#REF!</definedName>
    <definedName name="Highlightsconsolidated">#REF!</definedName>
    <definedName name="HighlightsUnit1">#REF!</definedName>
    <definedName name="html_cntrl" hidden="1">{"'CALL MONEY'!$K$53"}</definedName>
    <definedName name="html_cntrl465454" hidden="1">{"'CALL MONEY'!$K$53"}</definedName>
    <definedName name="HTML_CodePage" hidden="1">1252</definedName>
    <definedName name="HTML_Control" hidden="1">{"'CALL MONEY'!$K$53"}</definedName>
    <definedName name="html_ctl78" hidden="1">{"'CALL MONEY'!$K$53"}</definedName>
    <definedName name="HTML_Description" hidden="1">""</definedName>
    <definedName name="HTML_Email" hidden="1">""</definedName>
    <definedName name="HTML_Header" hidden="1">"CALL MONEY"</definedName>
    <definedName name="HTML_LastUpdate" hidden="1">"27/11/02"</definedName>
    <definedName name="HTML_LineAfter" hidden="1">FALSE</definedName>
    <definedName name="HTML_LineBefore" hidden="1">FALSE</definedName>
    <definedName name="HTML_Name" hidden="1">"Sana"</definedName>
    <definedName name="HTML_OBDlg2" hidden="1">TRUE</definedName>
    <definedName name="HTML_OBDlg4" hidden="1">TRUE</definedName>
    <definedName name="HTML_OS" hidden="1">0</definedName>
    <definedName name="HTML_PathFile" hidden="1">"C:\My Documents\MyHTML.htm"</definedName>
    <definedName name="HTML_Title" hidden="1">"HOLDING 27-11-2002"</definedName>
    <definedName name="I">#REF!</definedName>
    <definedName name="iki" hidden="1">{"'CALL MONEY'!$K$53"}</definedName>
    <definedName name="INC">#REF!</definedName>
    <definedName name="incomeretfc">#REF!</definedName>
    <definedName name="IncomeStatementDates">#REF!</definedName>
    <definedName name="Int">#REF!</definedName>
    <definedName name="Interest_Rate">#REF!</definedName>
    <definedName name="INVEST">[10]acct!#REF!</definedName>
    <definedName name="IPAGE1">#REF!</definedName>
    <definedName name="iqbal">[28]Sheet2!#REF!</definedName>
    <definedName name="J">#REF!</definedName>
    <definedName name="JJJJ">#REF!</definedName>
    <definedName name="kefkif">#REF!</definedName>
    <definedName name="KEY_S" hidden="1">#REF!</definedName>
    <definedName name="kkk">#REF!</definedName>
    <definedName name="klfbkw">#REF!</definedName>
    <definedName name="l">'[25]CE-10th-June-06'!#REF!</definedName>
    <definedName name="L_AcctDes">#REF!</definedName>
    <definedName name="L_Adjust">#REF!</definedName>
    <definedName name="L_Adjust_GT">#REF!</definedName>
    <definedName name="L_AJE_Tot">#REF!</definedName>
    <definedName name="L_AJE_Tot_GT">#REF!</definedName>
    <definedName name="L_CompNum">#REF!</definedName>
    <definedName name="L_CY_Beg">#REF!</definedName>
    <definedName name="L_CY_Beg_GT">#REF!</definedName>
    <definedName name="L_CY_End">#REF!</definedName>
    <definedName name="L_CY_End_GT">#REF!</definedName>
    <definedName name="L_GrpNum">#REF!</definedName>
    <definedName name="L_Headings">#REF!</definedName>
    <definedName name="L_KeyValue">#REF!</definedName>
    <definedName name="L_PY_End">#REF!</definedName>
    <definedName name="L_PY_End_GT">#REF!</definedName>
    <definedName name="L_RJE_Tot">#REF!</definedName>
    <definedName name="L_RJE_Tot_GT">#REF!</definedName>
    <definedName name="L_RowNum">#REF!</definedName>
    <definedName name="LAND_SCHEDULE">#REF!</definedName>
    <definedName name="Last_Row">#N/A</definedName>
    <definedName name="LIAB1">#REF!</definedName>
    <definedName name="LIAB2">#REF!</definedName>
    <definedName name="LIAB3">#REF!</definedName>
    <definedName name="LIAB4">#REF!</definedName>
    <definedName name="liabi">#REF!</definedName>
    <definedName name="LIBAST">#REF!</definedName>
    <definedName name="List_Curr">[16]Currency!$B$9:$B$31</definedName>
    <definedName name="List_Level_Assr">[16]DropDown!$B$1:$B$4</definedName>
    <definedName name="List_Proj_Meth">[16]DropDown!$H$1:$H$2</definedName>
    <definedName name="List_Samp_Sel">[16]DropDown!$D$1:$D$4</definedName>
    <definedName name="lk" hidden="1">#REF!</definedName>
    <definedName name="LN">#REF!</definedName>
    <definedName name="LN_9">#REF!</definedName>
    <definedName name="LN2_9">#REF!</definedName>
    <definedName name="Loan_Amount">#REF!</definedName>
    <definedName name="Loan_Start">#REF!</definedName>
    <definedName name="Loan_Years">#REF!</definedName>
    <definedName name="LOANS">[10]acct!#REF!</definedName>
    <definedName name="LPAGE1">#REF!</definedName>
    <definedName name="LPAGE2">#REF!</definedName>
    <definedName name="LPAGE3">#REF!</definedName>
    <definedName name="LPAGE4">#REF!</definedName>
    <definedName name="LYPWACC">#REF!</definedName>
    <definedName name="LYPWENG">#REF!</definedName>
    <definedName name="LYPWFIRE">#REF!</definedName>
    <definedName name="LYPWMARCARGO">#REF!</definedName>
    <definedName name="LYPWMARHULL">#REF!</definedName>
    <definedName name="LYPWMARYACHT">#REF!</definedName>
    <definedName name="LYPWMOTOR">#REF!</definedName>
    <definedName name="LYUPRACC">#REF!</definedName>
    <definedName name="LYUPRENG">#REF!</definedName>
    <definedName name="LYUPRFIRE">#REF!</definedName>
    <definedName name="LYUPRMARCARGO">#REF!</definedName>
    <definedName name="LYUPRMARHULL">#REF!</definedName>
    <definedName name="LYUPRMARYACHT">#REF!</definedName>
    <definedName name="LYUPRMOTOR">#REF!</definedName>
    <definedName name="M">#REF!</definedName>
    <definedName name="main">#REF!</definedName>
    <definedName name="Mansoor">#REF!</definedName>
    <definedName name="MARINEPREMIUMCURRENT">#REF!</definedName>
    <definedName name="masroor">#REF!</definedName>
    <definedName name="Materiality">#REF!</definedName>
    <definedName name="MENU">#REF!</definedName>
    <definedName name="minhaj">#REF!</definedName>
    <definedName name="Mis_Def">#REF!</definedName>
    <definedName name="MLNTREGISTER">#REF!</definedName>
    <definedName name="Monetary_Precision">#REF!</definedName>
    <definedName name="N">#REF!</definedName>
    <definedName name="NA">#REF!</definedName>
    <definedName name="new">#REF!</definedName>
    <definedName name="note">#REF!</definedName>
    <definedName name="Note1">#REF!</definedName>
    <definedName name="Note10">#REF!</definedName>
    <definedName name="Note11">#REF!</definedName>
    <definedName name="Note12">#REF!</definedName>
    <definedName name="note14">#REF!</definedName>
    <definedName name="Note15">#REF!</definedName>
    <definedName name="Note16">#REF!</definedName>
    <definedName name="Note17">#REF!</definedName>
    <definedName name="Note18">#REF!</definedName>
    <definedName name="Note19">#REF!</definedName>
    <definedName name="Note2">#REF!</definedName>
    <definedName name="Note2.1">#REF!</definedName>
    <definedName name="Note2.10">#REF!</definedName>
    <definedName name="Note2.11">#REF!</definedName>
    <definedName name="Note2.12">#REF!</definedName>
    <definedName name="Note2.13">#REF!</definedName>
    <definedName name="Note2.14">#REF!</definedName>
    <definedName name="Note2.15">#REF!</definedName>
    <definedName name="Note2.16">#REF!</definedName>
    <definedName name="Note2.17">#REF!</definedName>
    <definedName name="Note2.18">#REF!</definedName>
    <definedName name="Note2.19">#REF!</definedName>
    <definedName name="Note2.2">#REF!</definedName>
    <definedName name="Note2.3">#REF!</definedName>
    <definedName name="Note2.4">#REF!</definedName>
    <definedName name="Note2.5">#REF!</definedName>
    <definedName name="Note2.6">#REF!</definedName>
    <definedName name="Note2.7">#REF!</definedName>
    <definedName name="Note2.8">#REF!</definedName>
    <definedName name="Note2.9">#REF!</definedName>
    <definedName name="Note20">#REF!</definedName>
    <definedName name="Note21">#REF!</definedName>
    <definedName name="Note22">#REF!</definedName>
    <definedName name="Note23">#REF!</definedName>
    <definedName name="Note3">#REF!</definedName>
    <definedName name="Note4">#REF!</definedName>
    <definedName name="Note5">#REF!</definedName>
    <definedName name="Note58">'[17]BS-OVS'!#REF!</definedName>
    <definedName name="Note6">#REF!</definedName>
    <definedName name="Note7">#REF!</definedName>
    <definedName name="Note8">#REF!</definedName>
    <definedName name="Note9">#REF!</definedName>
    <definedName name="NOTES">#REF!</definedName>
    <definedName name="npl">#REF!</definedName>
    <definedName name="nplsum">#REF!</definedName>
    <definedName name="Num_Pmt_Per_Year">#REF!</definedName>
    <definedName name="Number_of_Payments">MATCH(0.01,End_Bal,-1)+1</definedName>
    <definedName name="Number_of_Selections">[29]CMA_Calculations!$F$122</definedName>
    <definedName name="O">#REF!</definedName>
    <definedName name="ok" hidden="1">#REF!</definedName>
    <definedName name="olk">#REF!</definedName>
    <definedName name="operating">#REF!</definedName>
    <definedName name="OSAL">#REF!</definedName>
    <definedName name="OVER">#REF!</definedName>
    <definedName name="P">#REF!</definedName>
    <definedName name="Pack">#REF!</definedName>
    <definedName name="PAGE2">#REF!</definedName>
    <definedName name="Pattern" hidden="1">{"'CALL MONEY'!$K$53"}</definedName>
    <definedName name="Pay_Date">#REF!</definedName>
    <definedName name="Pay_Num">#REF!</definedName>
    <definedName name="Payment_Date">DATE(YEAR(Loan_Start),MONTH(Loan_Start)+Payment_Number,DAY(Loan_Start))</definedName>
    <definedName name="PL">#REF!</definedName>
    <definedName name="PNL">'[12]Revenue-Fire-Marine-Motor'!#REF!</definedName>
    <definedName name="po">[30]BSDOMOVS!#REF!</definedName>
    <definedName name="Pop_AC">#REF!</definedName>
    <definedName name="Pop_Acc_Comp">#REF!</definedName>
    <definedName name="Pop_Def">#REF!</definedName>
    <definedName name="Pop_Imm_Def">#REF!</definedName>
    <definedName name="Pop_Imm_It">#REF!</definedName>
    <definedName name="Pop_Imm_T">#REF!</definedName>
    <definedName name="Pop_Samp_It">#REF!</definedName>
    <definedName name="Pop_Samp_T">#REF!</definedName>
    <definedName name="Pop_Sig_Def">#REF!</definedName>
    <definedName name="Pop_Sig_It">#REF!</definedName>
    <definedName name="Pop_Sig_T">#REF!</definedName>
    <definedName name="Pop_SU">#REF!</definedName>
    <definedName name="Port">#REF!</definedName>
    <definedName name="PP">#REF!</definedName>
    <definedName name="Pre_tax_materiality">#REF!</definedName>
    <definedName name="PREMIU">#REF!</definedName>
    <definedName name="PREMIUM">#REF!</definedName>
    <definedName name="Princ">#REF!</definedName>
    <definedName name="_xlnm.Print_Area" localSheetId="17">'11-15'!$A$1:$H$92</definedName>
    <definedName name="_xlnm.Print_Area" localSheetId="32">'13.2'!$A$1:$K$2</definedName>
    <definedName name="_xlnm.Print_Area" localSheetId="11">'1-4.1'!$A$1:$I$967</definedName>
    <definedName name="_xlnm.Print_Area" localSheetId="24">'14-17'!$A$455:$N$496</definedName>
    <definedName name="_xlnm.Print_Area" localSheetId="26">'15'!$A$1:$M$50</definedName>
    <definedName name="_xlnm.Print_Area" localSheetId="30">'15.1-15.2'!$A$1:$L$339</definedName>
    <definedName name="_xlnm.Print_Area" localSheetId="31">'16-16.1'!$A$1:$K$279</definedName>
    <definedName name="_xlnm.Print_Area" localSheetId="25">'26-27'!$A$1:$L$1</definedName>
    <definedName name="_xlnm.Print_Area" localSheetId="14">'5.2.1'!$A$1:$L$27</definedName>
    <definedName name="_xlnm.Print_Area" localSheetId="16">'5.3.1'!$A$3:$L$82</definedName>
    <definedName name="_xlnm.Print_Area" localSheetId="0">BS!$A$1:$H$56</definedName>
    <definedName name="_xlnm.Print_Area" localSheetId="9">Cashflow!$A$1:$H$74</definedName>
    <definedName name="_xlnm.Print_Area" localSheetId="10">'Cashflow (2)'!$A$1:$I$72</definedName>
    <definedName name="_xlnm.Print_Area" localSheetId="6">CF!$A$1:$I$70</definedName>
    <definedName name="_xlnm.Print_Area" localSheetId="45">'corrected pief'!$A$1:$U$38</definedName>
    <definedName name="_xlnm.Print_Area" localSheetId="4">DS!$A$1:$H$56</definedName>
    <definedName name="_xlnm.Print_Area" localSheetId="22">'Form 7'!$A$1:$H$93</definedName>
    <definedName name="_xlnm.Print_Area" localSheetId="35">[31]TBILLS!$A$3:$F$21</definedName>
    <definedName name="_xlnm.Print_Area" localSheetId="36">[31]TBILLS!$A$3:$F$21</definedName>
    <definedName name="_xlnm.Print_Area" localSheetId="1">IS!$A$1:$H$93</definedName>
    <definedName name="_xlnm.Print_Area" localSheetId="12">'Note 6.1'!$A$1:$M$132</definedName>
    <definedName name="_xlnm.Print_Area" localSheetId="21">'Note 9-14'!$A$38:$K$81</definedName>
    <definedName name="_xlnm.Print_Area" localSheetId="3">OCI!$A$1:$H$29</definedName>
    <definedName name="_xlnm.Print_Area" localSheetId="15">Sheet2!$A$1:$I$16</definedName>
    <definedName name="_xlnm.Print_Area" localSheetId="5">UHF!$A$1:$H$64</definedName>
    <definedName name="_xlnm.Print_Area" localSheetId="7">'UHF-NEW'!$A$1:$O$83</definedName>
    <definedName name="_xlnm.Print_Area" localSheetId="8">'UHF-NEW (2)'!$A$1:$M$83</definedName>
    <definedName name="_xlnm.Print_Area">[3]Sheet4!$A$421:$Q$523</definedName>
    <definedName name="PRINT_AREA_MI">#REF!</definedName>
    <definedName name="PRINT_AREA_MI_9">#REF!</definedName>
    <definedName name="Print_Area_Reset">OFFSET(Full_Print,0,0,Last_Row)</definedName>
    <definedName name="PRINT_DEF_TAX">#REF!</definedName>
    <definedName name="PRINT_DETAILS">#REF!</definedName>
    <definedName name="_xlnm.Print_Titles" localSheetId="12">'Note 6.1'!$4:$12</definedName>
    <definedName name="_xlnm.Print_Titles">#REF!</definedName>
    <definedName name="PROFIT1">#REF!</definedName>
    <definedName name="PROFIT2">#REF!</definedName>
    <definedName name="Proj_Meth">#REF!</definedName>
    <definedName name="provisiondet">#REF!</definedName>
    <definedName name="purchase">[5]purchase!#REF!</definedName>
    <definedName name="purchase2000">'[32]INCOME 2004'!#REF!</definedName>
    <definedName name="PY_all_Equity">#REF!</definedName>
    <definedName name="PY_all_Income">#REF!</definedName>
    <definedName name="PY_all_RetEarn">#REF!</definedName>
    <definedName name="PY_knw_Income">#REF!</definedName>
    <definedName name="PY_knw_RetEarn">#REF!</definedName>
    <definedName name="PY_lik_Income">#REF!</definedName>
    <definedName name="PY_lik_RetEarn">#REF!</definedName>
    <definedName name="PY_tot_knw_Xfoot">#REF!</definedName>
    <definedName name="PY_tot_lik_Xfoot">#REF!</definedName>
    <definedName name="PY_tx_all_Income">#REF!</definedName>
    <definedName name="PY_tx_all_RetEarn">#REF!</definedName>
    <definedName name="PY_tx_knw_Income">#REF!</definedName>
    <definedName name="PY_tx_knw_RetEarn">#REF!</definedName>
    <definedName name="PY_tx_lik_Income">#REF!</definedName>
    <definedName name="PY_tx_lik_RetEarn">#REF!</definedName>
    <definedName name="Q">#REF!</definedName>
    <definedName name="QATAR1">[3]Sheet4!$H$428:$H$519</definedName>
    <definedName name="QATAR2">[3]Sheet4!$U$326:$U$417</definedName>
    <definedName name="qwq">#REF!</definedName>
    <definedName name="ratio" hidden="1">{"PAGE1",#N/A,FALSE,"Sheet1";"PAGE2",#N/A,FALSE,"Sheet1"}</definedName>
    <definedName name="Raza">#REF!</definedName>
    <definedName name="REDCAP">[10]acct!#REF!</definedName>
    <definedName name="REPORT">#REF!</definedName>
    <definedName name="RES">#REF!</definedName>
    <definedName name="RF">[10]acct!#REF!</definedName>
    <definedName name="RULES">#REF!</definedName>
    <definedName name="S_AcctDes">#REF!</definedName>
    <definedName name="S_AcctDes_1">#REF!</definedName>
    <definedName name="S_AcctDes_20">#REF!</definedName>
    <definedName name="S_AcctDes_21">#REF!</definedName>
    <definedName name="S_AcctDes_23">#REF!</definedName>
    <definedName name="S_AcctDes_5">#REF!</definedName>
    <definedName name="S_AcctDes_8">#REF!</definedName>
    <definedName name="S_Adjust">#REF!</definedName>
    <definedName name="S_Adjust_1">#REF!</definedName>
    <definedName name="S_Adjust_20">#REF!</definedName>
    <definedName name="S_Adjust_21">#REF!</definedName>
    <definedName name="S_Adjust_23">#REF!</definedName>
    <definedName name="S_Adjust_5">#REF!</definedName>
    <definedName name="S_Adjust_8">#REF!</definedName>
    <definedName name="S_Adjust_Data">#REF!</definedName>
    <definedName name="S_Adjust_Data_1">#REF!</definedName>
    <definedName name="S_Adjust_Data_20">#REF!</definedName>
    <definedName name="S_Adjust_Data_21">#REF!</definedName>
    <definedName name="S_Adjust_Data_23">#REF!</definedName>
    <definedName name="S_Adjust_Data_5">#REF!</definedName>
    <definedName name="S_Adjust_Data_8">#REF!</definedName>
    <definedName name="S_Adjust_GT">#REF!</definedName>
    <definedName name="S_Adjust_GT_1">#REF!</definedName>
    <definedName name="S_Adjust_GT_20">#REF!</definedName>
    <definedName name="S_Adjust_GT_21">#REF!</definedName>
    <definedName name="S_Adjust_GT_23">#REF!</definedName>
    <definedName name="S_Adjust_GT_5">#REF!</definedName>
    <definedName name="S_Adjust_GT_8">#REF!</definedName>
    <definedName name="S_AJE_Tot">#REF!</definedName>
    <definedName name="S_AJE_Tot_1">#REF!</definedName>
    <definedName name="S_AJE_Tot_20">#REF!</definedName>
    <definedName name="S_AJE_Tot_21">#REF!</definedName>
    <definedName name="S_AJE_Tot_23">#REF!</definedName>
    <definedName name="S_AJE_Tot_5">#REF!</definedName>
    <definedName name="S_AJE_Tot_8">#REF!</definedName>
    <definedName name="S_AJE_Tot_Data">#REF!</definedName>
    <definedName name="S_AJE_Tot_Data_1">#REF!</definedName>
    <definedName name="S_AJE_Tot_Data_20">#REF!</definedName>
    <definedName name="S_AJE_Tot_Data_21">#REF!</definedName>
    <definedName name="S_AJE_Tot_Data_23">#REF!</definedName>
    <definedName name="S_AJE_Tot_Data_5">#REF!</definedName>
    <definedName name="S_AJE_Tot_Data_8">#REF!</definedName>
    <definedName name="S_AJE_Tot_GT">#REF!</definedName>
    <definedName name="S_AJE_Tot_GT_1">#REF!</definedName>
    <definedName name="S_AJE_Tot_GT_20">#REF!</definedName>
    <definedName name="S_AJE_Tot_GT_21">#REF!</definedName>
    <definedName name="S_AJE_Tot_GT_23">#REF!</definedName>
    <definedName name="S_AJE_Tot_GT_5">#REF!</definedName>
    <definedName name="S_AJE_Tot_GT_8">#REF!</definedName>
    <definedName name="S_CompNum">#REF!</definedName>
    <definedName name="S_CompNum_1">#REF!</definedName>
    <definedName name="S_CompNum_20">#REF!</definedName>
    <definedName name="S_CompNum_21">#REF!</definedName>
    <definedName name="S_CompNum_23">#REF!</definedName>
    <definedName name="S_CompNum_5">#REF!</definedName>
    <definedName name="S_CompNum_8">#REF!</definedName>
    <definedName name="S_CY_Beg">#REF!</definedName>
    <definedName name="S_CY_Beg_1">#REF!</definedName>
    <definedName name="S_CY_Beg_20">#REF!</definedName>
    <definedName name="S_CY_Beg_21">#REF!</definedName>
    <definedName name="S_CY_Beg_23">#REF!</definedName>
    <definedName name="S_CY_Beg_5">#REF!</definedName>
    <definedName name="S_CY_Beg_8">#REF!</definedName>
    <definedName name="S_CY_Beg_Data">#REF!</definedName>
    <definedName name="S_CY_Beg_Data_1">#REF!</definedName>
    <definedName name="S_CY_Beg_Data_20">#REF!</definedName>
    <definedName name="S_CY_Beg_Data_21">#REF!</definedName>
    <definedName name="S_CY_Beg_Data_23">#REF!</definedName>
    <definedName name="S_CY_Beg_Data_5">#REF!</definedName>
    <definedName name="S_CY_Beg_Data_8">#REF!</definedName>
    <definedName name="S_CY_Beg_GT">#REF!</definedName>
    <definedName name="S_CY_Beg_GT_1">#REF!</definedName>
    <definedName name="S_CY_Beg_GT_20">#REF!</definedName>
    <definedName name="S_CY_Beg_GT_21">#REF!</definedName>
    <definedName name="S_CY_Beg_GT_23">#REF!</definedName>
    <definedName name="S_CY_Beg_GT_5">#REF!</definedName>
    <definedName name="S_CY_Beg_GT_8">#REF!</definedName>
    <definedName name="S_CY_End">#REF!</definedName>
    <definedName name="S_CY_End_1">#REF!</definedName>
    <definedName name="S_CY_End_20">#REF!</definedName>
    <definedName name="S_CY_End_21">#REF!</definedName>
    <definedName name="S_CY_End_23">#REF!</definedName>
    <definedName name="S_CY_End_5">#REF!</definedName>
    <definedName name="S_CY_End_8">#REF!</definedName>
    <definedName name="S_CY_End_Data">#REF!</definedName>
    <definedName name="S_CY_End_Data_1">#REF!</definedName>
    <definedName name="S_CY_End_Data_20">#REF!</definedName>
    <definedName name="S_CY_End_Data_21">#REF!</definedName>
    <definedName name="S_CY_End_Data_23">#REF!</definedName>
    <definedName name="S_CY_End_Data_5">#REF!</definedName>
    <definedName name="S_CY_End_Data_8">#REF!</definedName>
    <definedName name="S_CY_End_GT">#REF!</definedName>
    <definedName name="S_CY_End_GT_1">#REF!</definedName>
    <definedName name="S_CY_End_GT_20">#REF!</definedName>
    <definedName name="S_CY_End_GT_21">#REF!</definedName>
    <definedName name="S_CY_End_GT_23">#REF!</definedName>
    <definedName name="S_CY_End_GT_5">#REF!</definedName>
    <definedName name="S_CY_End_GT_8">#REF!</definedName>
    <definedName name="S_Diff_Amt">#REF!</definedName>
    <definedName name="S_Diff_Amt_1">#REF!</definedName>
    <definedName name="S_Diff_Amt_20">#REF!</definedName>
    <definedName name="S_Diff_Amt_21">#REF!</definedName>
    <definedName name="S_Diff_Amt_23">#REF!</definedName>
    <definedName name="S_Diff_Amt_5">#REF!</definedName>
    <definedName name="S_Diff_Amt_8">#REF!</definedName>
    <definedName name="S_Diff_Pct">#REF!</definedName>
    <definedName name="S_Diff_Pct_1">#REF!</definedName>
    <definedName name="S_Diff_Pct_20">#REF!</definedName>
    <definedName name="S_Diff_Pct_21">#REF!</definedName>
    <definedName name="S_Diff_Pct_23">#REF!</definedName>
    <definedName name="S_Diff_Pct_5">#REF!</definedName>
    <definedName name="S_Diff_Pct_8">#REF!</definedName>
    <definedName name="S_GrpNum">#REF!</definedName>
    <definedName name="S_GrpNum_1">#REF!</definedName>
    <definedName name="S_GrpNum_20">#REF!</definedName>
    <definedName name="S_GrpNum_21">#REF!</definedName>
    <definedName name="S_GrpNum_23">#REF!</definedName>
    <definedName name="S_GrpNum_5">#REF!</definedName>
    <definedName name="S_GrpNum_8">#REF!</definedName>
    <definedName name="S_Headings">#REF!</definedName>
    <definedName name="S_Headings_1">#REF!</definedName>
    <definedName name="S_Headings_20">#REF!</definedName>
    <definedName name="S_Headings_21">#REF!</definedName>
    <definedName name="S_Headings_23">#REF!</definedName>
    <definedName name="S_Headings_5">#REF!</definedName>
    <definedName name="S_Headings_8">#REF!</definedName>
    <definedName name="S_KeyValue">#REF!</definedName>
    <definedName name="S_KeyValue_1">#REF!</definedName>
    <definedName name="S_KeyValue_20">#REF!</definedName>
    <definedName name="S_KeyValue_21">#REF!</definedName>
    <definedName name="S_KeyValue_23">#REF!</definedName>
    <definedName name="S_KeyValue_5">#REF!</definedName>
    <definedName name="S_KeyValue_8">#REF!</definedName>
    <definedName name="S_PY_End">#REF!</definedName>
    <definedName name="S_PY_End_1">#REF!</definedName>
    <definedName name="S_PY_End_20">#REF!</definedName>
    <definedName name="S_PY_End_21">#REF!</definedName>
    <definedName name="S_PY_End_23">#REF!</definedName>
    <definedName name="S_PY_End_5">#REF!</definedName>
    <definedName name="S_PY_End_8">#REF!</definedName>
    <definedName name="S_PY_End_Data">#REF!</definedName>
    <definedName name="S_PY_End_Data_1">#REF!</definedName>
    <definedName name="S_PY_End_Data_20">#REF!</definedName>
    <definedName name="S_PY_End_Data_21">#REF!</definedName>
    <definedName name="S_PY_End_Data_23">#REF!</definedName>
    <definedName name="S_PY_End_Data_5">#REF!</definedName>
    <definedName name="S_PY_End_Data_8">#REF!</definedName>
    <definedName name="S_PY_End_GT">#REF!</definedName>
    <definedName name="S_PY_End_GT_1">#REF!</definedName>
    <definedName name="S_PY_End_GT_20">#REF!</definedName>
    <definedName name="S_PY_End_GT_21">#REF!</definedName>
    <definedName name="S_PY_End_GT_23">#REF!</definedName>
    <definedName name="S_PY_End_GT_5">#REF!</definedName>
    <definedName name="S_PY_End_GT_8">#REF!</definedName>
    <definedName name="S_RJE_Tot">#REF!</definedName>
    <definedName name="S_RJE_Tot_1">#REF!</definedName>
    <definedName name="S_RJE_Tot_20">#REF!</definedName>
    <definedName name="S_RJE_Tot_21">#REF!</definedName>
    <definedName name="S_RJE_Tot_23">#REF!</definedName>
    <definedName name="S_RJE_Tot_5">#REF!</definedName>
    <definedName name="S_RJE_Tot_8">#REF!</definedName>
    <definedName name="S_RJE_Tot_Data">#REF!</definedName>
    <definedName name="S_RJE_Tot_Data_1">#REF!</definedName>
    <definedName name="S_RJE_Tot_Data_20">#REF!</definedName>
    <definedName name="S_RJE_Tot_Data_21">#REF!</definedName>
    <definedName name="S_RJE_Tot_Data_23">#REF!</definedName>
    <definedName name="S_RJE_Tot_Data_5">#REF!</definedName>
    <definedName name="S_RJE_Tot_Data_8">#REF!</definedName>
    <definedName name="S_RJE_Tot_GT">#REF!</definedName>
    <definedName name="S_RJE_Tot_GT_1">#REF!</definedName>
    <definedName name="S_RJE_Tot_GT_20">#REF!</definedName>
    <definedName name="S_RJE_Tot_GT_21">#REF!</definedName>
    <definedName name="S_RJE_Tot_GT_23">#REF!</definedName>
    <definedName name="S_RJE_Tot_GT_5">#REF!</definedName>
    <definedName name="S_RJE_Tot_GT_8">#REF!</definedName>
    <definedName name="S_RowNum">#REF!</definedName>
    <definedName name="S_RowNum_1">#REF!</definedName>
    <definedName name="S_RowNum_20">#REF!</definedName>
    <definedName name="S_RowNum_21">#REF!</definedName>
    <definedName name="S_RowNum_23">#REF!</definedName>
    <definedName name="S_RowNum_5">#REF!</definedName>
    <definedName name="S_RowNum_8">#REF!</definedName>
    <definedName name="SALE_FIG">#REF!</definedName>
    <definedName name="sale2000">'[32]INCOME 2004'!#REF!</definedName>
    <definedName name="SALES">[10]acct!#REF!</definedName>
    <definedName name="sam">#REF!</definedName>
    <definedName name="Samp_Ass">#REF!</definedName>
    <definedName name="Samp_Calc_Sample">#REF!</definedName>
    <definedName name="Samp_Calc_TM">#REF!</definedName>
    <definedName name="Samp_DSS">#REF!</definedName>
    <definedName name="Samp_EM_Per">#REF!</definedName>
    <definedName name="Samp_EM_T">#REF!</definedName>
    <definedName name="Samp_Factor">#REF!</definedName>
    <definedName name="Samp_Min_SS">#REF!</definedName>
    <definedName name="Samp_MTM">#REF!</definedName>
    <definedName name="Samp_PM">#REF!</definedName>
    <definedName name="Samp_Pre">#REF!</definedName>
    <definedName name="Samp_Pre_T">#REF!</definedName>
    <definedName name="Samp_RTB">#REF!</definedName>
    <definedName name="Samp_RTB_Desc">#REF!</definedName>
    <definedName name="Samp_Sel">#REF!</definedName>
    <definedName name="Samp_Small_Adj">#REF!</definedName>
    <definedName name="Samp_SS">#REF!</definedName>
    <definedName name="Samp_TM_Diff">#REF!</definedName>
    <definedName name="Samp_TM_Exp_Diff">#REF!</definedName>
    <definedName name="Samp_TM_N">#REF!</definedName>
    <definedName name="Samp_TM_Y">#REF!</definedName>
    <definedName name="Sampr_Factor">#REF!</definedName>
    <definedName name="SAVE">#REF!</definedName>
    <definedName name="SBP">'[33]Notes1-5'!#REF!</definedName>
    <definedName name="SC">#REF!</definedName>
    <definedName name="Sched_Pay">#REF!</definedName>
    <definedName name="Scheduled_Extra_Payments">#REF!</definedName>
    <definedName name="Scheduled_Interest_Rate">#REF!</definedName>
    <definedName name="Scheduled_Monthly_Payment">#REF!</definedName>
    <definedName name="SDG">#REF!</definedName>
    <definedName name="sdsa">[34]A!$AX$5:$AX$129</definedName>
    <definedName name="sectionNames">#REF!</definedName>
    <definedName name="SGDD">[10]acct!#REF!</definedName>
    <definedName name="sheet">'[12]Revenue-Fire-Marine-Motor'!#REF!</definedName>
    <definedName name="sheet5" hidden="1">{#N/A,#N/A,FALSE,"Aging Summary";#N/A,#N/A,FALSE,"Ratio Analysis";#N/A,#N/A,FALSE,"Test 120 Day Accts";#N/A,#N/A,FALSE,"Tickmarks"}</definedName>
    <definedName name="SNS">[10]acct!#REF!</definedName>
    <definedName name="SOC">#REF!</definedName>
    <definedName name="ss">[27]Lead!#REF!</definedName>
    <definedName name="sshsi">'[35]T-BILL'!#REF!</definedName>
    <definedName name="START">#REF!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c">#REF!</definedName>
    <definedName name="Strat_Def">#REF!</definedName>
    <definedName name="Strat_T_It">#REF!</definedName>
    <definedName name="Strat_T_T">#REF!</definedName>
    <definedName name="sum">#REF!</definedName>
    <definedName name="T_BILLOWN">#REF!</definedName>
    <definedName name="T_BILLREPO">'[35]T-BILL'!#REF!</definedName>
    <definedName name="tAX">[10]acct!#REF!</definedName>
    <definedName name="Tax_Effect_Income">#REF!</definedName>
    <definedName name="Tax_Effect_Liabs">#REF!</definedName>
    <definedName name="Tax_Effect_RetEarn">#REF!</definedName>
    <definedName name="TAX_FIG">#REF!</definedName>
    <definedName name="Tax_Rate">#REF!</definedName>
    <definedName name="TAXDEPRECIATION">#REF!</definedName>
    <definedName name="TB" hidden="1">#REF!</definedName>
    <definedName name="Test_ND">#REF!</definedName>
    <definedName name="Test_Proj_Mis">#REF!</definedName>
    <definedName name="Test_Targ">#REF!</definedName>
    <definedName name="Test_Total_T">#REF!</definedName>
    <definedName name="TextRefCopy1">#REF!</definedName>
    <definedName name="TextRefCopy1_1">#REF!</definedName>
    <definedName name="TextRefCopy1_20">#REF!</definedName>
    <definedName name="TextRefCopy1_21">#REF!</definedName>
    <definedName name="TextRefCopy1_23">#REF!</definedName>
    <definedName name="TextRefCopy1_5">#REF!</definedName>
    <definedName name="TextRefCopy1_8">#REF!</definedName>
    <definedName name="TextRefCopy10">[36]BS!#REF!</definedName>
    <definedName name="TextRefCopy16">[36]IS!#REF!</definedName>
    <definedName name="TextRefCopy27">#REF!</definedName>
    <definedName name="TextRefCopy28">#REF!</definedName>
    <definedName name="TextRefCopy29">#REF!</definedName>
    <definedName name="TextRefCopy3">[36]BS!$K$13</definedName>
    <definedName name="TextRefCopy30">#REF!</definedName>
    <definedName name="TextRefCopy31">#REF!</definedName>
    <definedName name="TextRefCopy32">#REF!</definedName>
    <definedName name="TextRefCopy33">#REF!</definedName>
    <definedName name="TextRefCopy34">#REF!</definedName>
    <definedName name="TextRefCopy35">[29]CMA_Calculations!$D$2</definedName>
    <definedName name="TextRefCopy36">#REF!</definedName>
    <definedName name="TextRefCopy37">#REF!</definedName>
    <definedName name="TextRefCopy41">#REF!</definedName>
    <definedName name="TextRefCopy43">'[37]Verification of Sales'!$E$3</definedName>
    <definedName name="TextRefCopy45">#REF!</definedName>
    <definedName name="TextRefCopy47">#REF!</definedName>
    <definedName name="TextRefCopy48">#REF!</definedName>
    <definedName name="TextRefCopy49">#REF!</definedName>
    <definedName name="TextRefCopy50">'[37]Verification of Sales'!#REF!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0">#REF!</definedName>
    <definedName name="TextRefCopy71">#REF!</definedName>
    <definedName name="TextRefCopy72">#REF!</definedName>
    <definedName name="TextRefCopy73">#REF!</definedName>
    <definedName name="TextRefCopyRangeCount" hidden="1">1</definedName>
    <definedName name="Title">#REF!</definedName>
    <definedName name="Tot_knw_Xfoot">#REF!</definedName>
    <definedName name="Tot_lik_Xfoot">#REF!</definedName>
    <definedName name="TOTAL">#REF!</definedName>
    <definedName name="Total_Amount">[29]CMA_Calculations!$D$122</definedName>
    <definedName name="Total_Interest">#REF!</definedName>
    <definedName name="Total_Pay">#REF!</definedName>
    <definedName name="Total_Payment">Scheduled_Payment+Extra_Payment</definedName>
    <definedName name="TRF">'[1]last qrt2001'!#REF!</definedName>
    <definedName name="two">#REF!</definedName>
    <definedName name="Units">#REF!</definedName>
    <definedName name="UPDATE">#REF!</definedName>
    <definedName name="usman">#REF!</definedName>
    <definedName name="UT" hidden="1">#REF!</definedName>
    <definedName name="Values_Entered">IF(Loan_Amount*Interest_Rate*Loan_Years*Loan_Start&gt;0,1,0)</definedName>
    <definedName name="W">#REF!</definedName>
    <definedName name="workin">'[38]Input-Qtrly'!$F$27</definedName>
    <definedName name="wrn.Aging._.and._.Trend._.Analysis." hidden="1">{#N/A,#N/A,FALSE,"Aging Summary";#N/A,#N/A,FALSE,"Ratio Analysis";#N/A,#N/A,FALSE,"Test 120 Day Accts";#N/A,#N/A,FALSE,"Tickmarks"}</definedName>
    <definedName name="wrn.RATIO." hidden="1">{"PAGE1",#N/A,FALSE,"Sheet1";"PAGE2",#N/A,FALSE,"Sheet1"}</definedName>
    <definedName name="ws">'[39]Revenue-Fire-Marine-Motor'!#REF!</definedName>
    <definedName name="wsx" hidden="1">{"'CALL MONEY'!$K$53"}</definedName>
    <definedName name="www\">#REF!</definedName>
    <definedName name="X">#REF!</definedName>
    <definedName name="XX">'[1]last qrt2001'!#REF!</definedName>
    <definedName name="YCAB">#REF!</definedName>
    <definedName name="YEMEN1">[3]Sheet4!$L$222:$L$313</definedName>
    <definedName name="YEMEN2">[3]Sheet4!$Y$222:$Y$313</definedName>
    <definedName name="YesNoNA">'[26]Drop down'!$G$6:$G$9</definedName>
    <definedName name="YR" hidden="1">#REF!</definedName>
    <definedName name="zaheer">#REF!</definedName>
  </definedNames>
  <calcPr calcId="162913"/>
</workbook>
</file>

<file path=xl/calcChain.xml><?xml version="1.0" encoding="utf-8"?>
<calcChain xmlns="http://schemas.openxmlformats.org/spreadsheetml/2006/main">
  <c r="L452" i="8" l="1"/>
  <c r="L453" i="8" s="1"/>
  <c r="K452" i="8"/>
  <c r="K453" i="8" s="1"/>
  <c r="L451" i="8"/>
  <c r="K451" i="8"/>
  <c r="L25" i="45" l="1"/>
  <c r="I25" i="45"/>
  <c r="L24" i="45"/>
  <c r="I24" i="45"/>
  <c r="L23" i="45"/>
  <c r="I23" i="45"/>
  <c r="L22" i="45"/>
  <c r="I22" i="45"/>
  <c r="L21" i="45"/>
  <c r="I21" i="45"/>
  <c r="J634" i="8" l="1"/>
  <c r="K657" i="8"/>
  <c r="K652" i="8"/>
  <c r="I18" i="39" l="1"/>
  <c r="G18" i="39"/>
  <c r="I16" i="39" l="1"/>
  <c r="G16" i="39"/>
  <c r="G619" i="8" l="1"/>
  <c r="M622" i="8" l="1"/>
  <c r="O618" i="8"/>
  <c r="O619" i="8" s="1"/>
  <c r="N626" i="8"/>
  <c r="N627" i="8" s="1"/>
  <c r="M617" i="8"/>
  <c r="L618" i="8"/>
  <c r="F28" i="52" l="1"/>
  <c r="W26" i="52"/>
  <c r="L26" i="52"/>
  <c r="W25" i="52"/>
  <c r="H25" i="52"/>
  <c r="E25" i="52"/>
  <c r="F24" i="52"/>
  <c r="E24" i="52"/>
  <c r="W23" i="52"/>
  <c r="F23" i="52"/>
  <c r="E23" i="52"/>
  <c r="L22" i="52"/>
  <c r="Q20" i="52"/>
  <c r="L20" i="52"/>
  <c r="Q18" i="52"/>
  <c r="N18" i="52"/>
  <c r="L18" i="52"/>
  <c r="K18" i="52"/>
  <c r="I18" i="52"/>
  <c r="G18" i="52"/>
  <c r="E18" i="52"/>
  <c r="U16" i="52"/>
  <c r="S16" i="52"/>
  <c r="N16" i="52"/>
  <c r="L16" i="52"/>
  <c r="K16" i="52"/>
  <c r="I16" i="52"/>
  <c r="G16" i="52"/>
  <c r="V15" i="52"/>
  <c r="W15" i="52" s="1"/>
  <c r="U15" i="52"/>
  <c r="S15" i="52"/>
  <c r="N15" i="52"/>
  <c r="L15" i="52"/>
  <c r="K15" i="52"/>
  <c r="I15" i="52"/>
  <c r="G15" i="52"/>
  <c r="W14" i="52"/>
  <c r="V14" i="52"/>
  <c r="R14" i="52"/>
  <c r="S14" i="52" s="1"/>
  <c r="U14" i="52" s="1"/>
  <c r="N14" i="52"/>
  <c r="L14" i="52"/>
  <c r="K14" i="52"/>
  <c r="I14" i="52"/>
  <c r="G14" i="52"/>
  <c r="F14" i="52"/>
  <c r="E14" i="52"/>
  <c r="V13" i="52"/>
  <c r="W13" i="52" s="1"/>
  <c r="R13" i="52"/>
  <c r="S13" i="52" s="1"/>
  <c r="U13" i="52" s="1"/>
  <c r="N13" i="52"/>
  <c r="L13" i="52"/>
  <c r="K13" i="52"/>
  <c r="I13" i="52"/>
  <c r="G13" i="52"/>
  <c r="F13" i="52"/>
  <c r="V12" i="52"/>
  <c r="W12" i="52" s="1"/>
  <c r="R12" i="52"/>
  <c r="S12" i="52" s="1"/>
  <c r="U12" i="52" s="1"/>
  <c r="N12" i="52"/>
  <c r="L12" i="52"/>
  <c r="K12" i="52"/>
  <c r="E12" i="52"/>
  <c r="W11" i="52"/>
  <c r="V11" i="52"/>
  <c r="R11" i="52"/>
  <c r="S11" i="52" s="1"/>
  <c r="U11" i="52" s="1"/>
  <c r="N11" i="52"/>
  <c r="L11" i="52"/>
  <c r="K11" i="52"/>
  <c r="I11" i="52"/>
  <c r="G11" i="52"/>
  <c r="F11" i="52"/>
  <c r="V10" i="52"/>
  <c r="W10" i="52" s="1"/>
  <c r="R10" i="52"/>
  <c r="S10" i="52" s="1"/>
  <c r="U10" i="52" s="1"/>
  <c r="N10" i="52"/>
  <c r="L10" i="52"/>
  <c r="K10" i="52"/>
  <c r="I10" i="52"/>
  <c r="G10" i="52"/>
  <c r="F10" i="52"/>
  <c r="E10" i="52"/>
  <c r="AB9" i="52"/>
  <c r="Z9" i="52"/>
  <c r="Y9" i="52"/>
  <c r="V9" i="52"/>
  <c r="W9" i="52" s="1"/>
  <c r="R9" i="52"/>
  <c r="S9" i="52" s="1"/>
  <c r="U9" i="52" s="1"/>
  <c r="N9" i="52"/>
  <c r="L9" i="52"/>
  <c r="K9" i="52"/>
  <c r="I9" i="52"/>
  <c r="G9" i="52"/>
  <c r="F9" i="52"/>
  <c r="AB8" i="52"/>
  <c r="Z8" i="52"/>
  <c r="Y8" i="52"/>
  <c r="V8" i="52"/>
  <c r="W8" i="52" s="1"/>
  <c r="R8" i="52"/>
  <c r="S8" i="52" s="1"/>
  <c r="U8" i="52" s="1"/>
  <c r="N8" i="52"/>
  <c r="L8" i="52"/>
  <c r="K8" i="52"/>
  <c r="I8" i="52"/>
  <c r="G8" i="52"/>
  <c r="F8" i="52"/>
  <c r="B3" i="52"/>
  <c r="J19" i="49"/>
  <c r="I19" i="49"/>
  <c r="H17" i="49"/>
  <c r="G17" i="49"/>
  <c r="E10" i="49"/>
  <c r="E9" i="49"/>
  <c r="E8" i="49"/>
  <c r="E11" i="49" s="1"/>
  <c r="H5" i="49"/>
  <c r="G5" i="49"/>
  <c r="M4" i="49"/>
  <c r="L4" i="49"/>
  <c r="K4" i="49"/>
  <c r="J4" i="49"/>
  <c r="H4" i="49"/>
  <c r="G4" i="49"/>
  <c r="C172" i="50"/>
  <c r="D170" i="50"/>
  <c r="C170" i="50"/>
  <c r="E167" i="50"/>
  <c r="E166" i="50"/>
  <c r="E165" i="50"/>
  <c r="E163" i="50"/>
  <c r="C163" i="50"/>
  <c r="E161" i="50"/>
  <c r="C161" i="50"/>
  <c r="E160" i="50"/>
  <c r="E159" i="50"/>
  <c r="E158" i="50"/>
  <c r="E157" i="50"/>
  <c r="E156" i="50"/>
  <c r="E155" i="50"/>
  <c r="E154" i="50"/>
  <c r="E153" i="50"/>
  <c r="E152" i="50"/>
  <c r="E151" i="50"/>
  <c r="E150" i="50"/>
  <c r="E149" i="50"/>
  <c r="E148" i="50"/>
  <c r="E147" i="50"/>
  <c r="E146" i="50"/>
  <c r="E145" i="50"/>
  <c r="E144" i="50"/>
  <c r="E143" i="50"/>
  <c r="E142" i="50"/>
  <c r="E141" i="50"/>
  <c r="E140" i="50"/>
  <c r="E139" i="50"/>
  <c r="E138" i="50"/>
  <c r="E137" i="50"/>
  <c r="E136" i="50"/>
  <c r="E135" i="50"/>
  <c r="E134" i="50"/>
  <c r="E133" i="50"/>
  <c r="E132" i="50"/>
  <c r="E131" i="50"/>
  <c r="E130" i="50"/>
  <c r="E129" i="50"/>
  <c r="E128" i="50"/>
  <c r="E127" i="50"/>
  <c r="E126" i="50"/>
  <c r="E125" i="50"/>
  <c r="E124" i="50"/>
  <c r="E123" i="50"/>
  <c r="E122" i="50"/>
  <c r="E121" i="50"/>
  <c r="E120" i="50"/>
  <c r="E119" i="50"/>
  <c r="E118" i="50"/>
  <c r="E117" i="50"/>
  <c r="E116" i="50"/>
  <c r="E115" i="50"/>
  <c r="E114" i="50"/>
  <c r="E113" i="50"/>
  <c r="E112" i="50"/>
  <c r="E111" i="50"/>
  <c r="E110" i="50"/>
  <c r="E109" i="50"/>
  <c r="E108" i="50"/>
  <c r="E107" i="50"/>
  <c r="E106" i="50"/>
  <c r="E105" i="50"/>
  <c r="E104" i="50"/>
  <c r="E103" i="50"/>
  <c r="E102" i="50"/>
  <c r="E101" i="50"/>
  <c r="E100" i="50"/>
  <c r="E99" i="50"/>
  <c r="E98" i="50"/>
  <c r="E97" i="50"/>
  <c r="F96" i="50"/>
  <c r="E96" i="50"/>
  <c r="E95" i="50"/>
  <c r="E94" i="50"/>
  <c r="E93" i="50"/>
  <c r="E92" i="50"/>
  <c r="E91" i="50"/>
  <c r="E90" i="50"/>
  <c r="E89" i="50"/>
  <c r="E88" i="50"/>
  <c r="E87" i="50"/>
  <c r="E86" i="50"/>
  <c r="E85" i="50"/>
  <c r="E83" i="50"/>
  <c r="E82" i="50"/>
  <c r="E81" i="50"/>
  <c r="E80" i="50"/>
  <c r="E79" i="50"/>
  <c r="E78" i="50"/>
  <c r="E77" i="50"/>
  <c r="E76" i="50"/>
  <c r="E75" i="50"/>
  <c r="E74" i="50"/>
  <c r="E73" i="50"/>
  <c r="E72" i="50"/>
  <c r="E71" i="50"/>
  <c r="E70" i="50"/>
  <c r="E69" i="50"/>
  <c r="E68" i="50"/>
  <c r="E67" i="50"/>
  <c r="E66" i="50"/>
  <c r="E65" i="50"/>
  <c r="E64" i="50"/>
  <c r="E63" i="50"/>
  <c r="E62" i="50"/>
  <c r="E61" i="50"/>
  <c r="E59" i="50"/>
  <c r="E58" i="50"/>
  <c r="E57" i="50"/>
  <c r="E55" i="50"/>
  <c r="E54" i="50"/>
  <c r="E53" i="50"/>
  <c r="C53" i="50"/>
  <c r="E52" i="50"/>
  <c r="E51" i="50"/>
  <c r="E50" i="50"/>
  <c r="E49" i="50"/>
  <c r="E48" i="50"/>
  <c r="E47" i="50"/>
  <c r="E46" i="50"/>
  <c r="E45" i="50"/>
  <c r="E44" i="50"/>
  <c r="E43" i="50"/>
  <c r="E42" i="50"/>
  <c r="E41" i="50"/>
  <c r="E40" i="50"/>
  <c r="E39" i="50"/>
  <c r="E38" i="50"/>
  <c r="E37" i="50"/>
  <c r="E36" i="50"/>
  <c r="E35" i="50"/>
  <c r="E34" i="50"/>
  <c r="E33" i="50"/>
  <c r="E32" i="50"/>
  <c r="E31" i="50"/>
  <c r="E30" i="50"/>
  <c r="E29" i="50"/>
  <c r="E28" i="50"/>
  <c r="E27" i="50"/>
  <c r="E26" i="50"/>
  <c r="E25" i="50"/>
  <c r="E24" i="50"/>
  <c r="E23" i="50"/>
  <c r="E22" i="50"/>
  <c r="E21" i="50"/>
  <c r="E20" i="50"/>
  <c r="E19" i="50"/>
  <c r="E18" i="50"/>
  <c r="E17" i="50"/>
  <c r="E16" i="50"/>
  <c r="E15" i="50"/>
  <c r="E14" i="50"/>
  <c r="E13" i="50"/>
  <c r="E12" i="50"/>
  <c r="E11" i="50"/>
  <c r="E10" i="50"/>
  <c r="E9" i="50"/>
  <c r="E8" i="50"/>
  <c r="E7" i="50"/>
  <c r="E6" i="50"/>
  <c r="E5" i="50"/>
  <c r="E4" i="50"/>
  <c r="E3" i="50"/>
  <c r="C177" i="48"/>
  <c r="E173" i="48"/>
  <c r="E172" i="48"/>
  <c r="E171" i="48"/>
  <c r="E170" i="48"/>
  <c r="E169" i="48"/>
  <c r="E168" i="48"/>
  <c r="E167" i="48"/>
  <c r="E166" i="48"/>
  <c r="E165" i="48"/>
  <c r="E164" i="48"/>
  <c r="E163" i="48"/>
  <c r="E162" i="48"/>
  <c r="E161" i="48"/>
  <c r="E160" i="48"/>
  <c r="E159" i="48"/>
  <c r="E158" i="48"/>
  <c r="E157" i="48"/>
  <c r="E156" i="48"/>
  <c r="E155" i="48"/>
  <c r="E154" i="48"/>
  <c r="E153" i="48"/>
  <c r="E152" i="48"/>
  <c r="E151" i="48"/>
  <c r="E150" i="48"/>
  <c r="E149" i="48"/>
  <c r="E148" i="48"/>
  <c r="E147" i="48"/>
  <c r="E146" i="48"/>
  <c r="E145" i="48"/>
  <c r="E144" i="48"/>
  <c r="E143" i="48"/>
  <c r="E142" i="48"/>
  <c r="E141" i="48"/>
  <c r="E140" i="48"/>
  <c r="E139" i="48"/>
  <c r="E138" i="48"/>
  <c r="E137" i="48"/>
  <c r="E136" i="48"/>
  <c r="E135" i="48"/>
  <c r="E134" i="48"/>
  <c r="E133" i="48"/>
  <c r="E132" i="48"/>
  <c r="E131" i="48"/>
  <c r="E130" i="48"/>
  <c r="E129" i="48"/>
  <c r="E128" i="48"/>
  <c r="E127" i="48"/>
  <c r="E126" i="48"/>
  <c r="E125" i="48"/>
  <c r="E124" i="48"/>
  <c r="E123" i="48"/>
  <c r="E122" i="48"/>
  <c r="E121" i="48"/>
  <c r="E120" i="48"/>
  <c r="E119" i="48"/>
  <c r="E118" i="48"/>
  <c r="E117" i="48"/>
  <c r="E116" i="48"/>
  <c r="E115" i="48"/>
  <c r="E114" i="48"/>
  <c r="E113" i="48"/>
  <c r="E112" i="48"/>
  <c r="E111" i="48"/>
  <c r="E110" i="48"/>
  <c r="E109" i="48"/>
  <c r="E108" i="48"/>
  <c r="E107" i="48"/>
  <c r="E106" i="48"/>
  <c r="E105" i="48"/>
  <c r="E104" i="48"/>
  <c r="E103" i="48"/>
  <c r="E102" i="48"/>
  <c r="E101" i="48"/>
  <c r="E100" i="48"/>
  <c r="E99" i="48"/>
  <c r="E98" i="48"/>
  <c r="E97" i="48"/>
  <c r="F96" i="48"/>
  <c r="E96" i="48"/>
  <c r="E95" i="48"/>
  <c r="E94" i="48"/>
  <c r="E93" i="48"/>
  <c r="E92" i="48"/>
  <c r="E91" i="48"/>
  <c r="E90" i="48"/>
  <c r="E89" i="48"/>
  <c r="E88" i="48"/>
  <c r="E87" i="48"/>
  <c r="E86" i="48"/>
  <c r="E85" i="48"/>
  <c r="E84" i="48"/>
  <c r="E83" i="48"/>
  <c r="E82" i="48"/>
  <c r="E81" i="48"/>
  <c r="E80" i="48"/>
  <c r="E79" i="48"/>
  <c r="E78" i="48"/>
  <c r="E77" i="48"/>
  <c r="E76" i="48"/>
  <c r="E75" i="48"/>
  <c r="E74" i="48"/>
  <c r="E73" i="48"/>
  <c r="E72" i="48"/>
  <c r="E71" i="48"/>
  <c r="E70" i="48"/>
  <c r="E69" i="48"/>
  <c r="E68" i="48"/>
  <c r="E67" i="48"/>
  <c r="E66" i="48"/>
  <c r="E65" i="48"/>
  <c r="E64" i="48"/>
  <c r="E63" i="48"/>
  <c r="E62" i="48"/>
  <c r="E61" i="48"/>
  <c r="E59" i="48"/>
  <c r="E58" i="48"/>
  <c r="E57" i="48"/>
  <c r="E55" i="48"/>
  <c r="E54" i="48"/>
  <c r="E53" i="48"/>
  <c r="E52" i="48"/>
  <c r="E51" i="48"/>
  <c r="E50" i="48"/>
  <c r="E49" i="48"/>
  <c r="E48" i="48"/>
  <c r="E47" i="48"/>
  <c r="E46" i="48"/>
  <c r="E45" i="48"/>
  <c r="E44" i="48"/>
  <c r="E43" i="48"/>
  <c r="E42" i="48"/>
  <c r="E41" i="48"/>
  <c r="E40" i="48"/>
  <c r="E39" i="48"/>
  <c r="E38" i="48"/>
  <c r="E37" i="48"/>
  <c r="E36" i="48"/>
  <c r="E35" i="48"/>
  <c r="E34" i="48"/>
  <c r="E33" i="48"/>
  <c r="E32" i="48"/>
  <c r="E31" i="48"/>
  <c r="E30" i="48"/>
  <c r="E29" i="48"/>
  <c r="E28" i="48"/>
  <c r="E27" i="48"/>
  <c r="E26" i="48"/>
  <c r="E25" i="48"/>
  <c r="E24" i="48"/>
  <c r="E23" i="48"/>
  <c r="E22" i="48"/>
  <c r="E21" i="48"/>
  <c r="E20" i="48"/>
  <c r="E19" i="48"/>
  <c r="E18" i="48"/>
  <c r="E17" i="48"/>
  <c r="E16" i="48"/>
  <c r="E15" i="48"/>
  <c r="E14" i="48"/>
  <c r="E13" i="48"/>
  <c r="E12" i="48"/>
  <c r="E11" i="48"/>
  <c r="E10" i="48"/>
  <c r="E9" i="48"/>
  <c r="E8" i="48"/>
  <c r="E7" i="48"/>
  <c r="E6" i="48"/>
  <c r="E5" i="48"/>
  <c r="E4" i="48"/>
  <c r="E3" i="48"/>
  <c r="E1381" i="17"/>
  <c r="I373" i="17"/>
  <c r="H373" i="17"/>
  <c r="G373" i="17"/>
  <c r="F373" i="17"/>
  <c r="E373" i="17"/>
  <c r="D373" i="17"/>
  <c r="C373" i="17"/>
  <c r="I372" i="17"/>
  <c r="H372" i="17"/>
  <c r="G372" i="17"/>
  <c r="F372" i="17"/>
  <c r="E372" i="17"/>
  <c r="C372" i="17"/>
  <c r="B372" i="17"/>
  <c r="I371" i="17"/>
  <c r="H371" i="17"/>
  <c r="G371" i="17"/>
  <c r="F371" i="17"/>
  <c r="E371" i="17"/>
  <c r="C371" i="17"/>
  <c r="B371" i="17"/>
  <c r="I370" i="17"/>
  <c r="H370" i="17"/>
  <c r="G370" i="17"/>
  <c r="F370" i="17"/>
  <c r="E370" i="17"/>
  <c r="C370" i="17"/>
  <c r="B370" i="17"/>
  <c r="I369" i="17"/>
  <c r="H369" i="17"/>
  <c r="G369" i="17"/>
  <c r="F369" i="17"/>
  <c r="E369" i="17"/>
  <c r="C369" i="17"/>
  <c r="B369" i="17"/>
  <c r="I368" i="17"/>
  <c r="H368" i="17"/>
  <c r="G368" i="17"/>
  <c r="F368" i="17"/>
  <c r="E368" i="17"/>
  <c r="C368" i="17"/>
  <c r="B368" i="17"/>
  <c r="I367" i="17"/>
  <c r="H367" i="17"/>
  <c r="G367" i="17"/>
  <c r="F367" i="17"/>
  <c r="E367" i="17"/>
  <c r="C367" i="17"/>
  <c r="B367" i="17"/>
  <c r="I366" i="17"/>
  <c r="H366" i="17"/>
  <c r="G366" i="17"/>
  <c r="F366" i="17"/>
  <c r="E366" i="17"/>
  <c r="C366" i="17"/>
  <c r="B366" i="17"/>
  <c r="I365" i="17"/>
  <c r="H365" i="17"/>
  <c r="G365" i="17"/>
  <c r="F365" i="17"/>
  <c r="E365" i="17"/>
  <c r="C365" i="17"/>
  <c r="B365" i="17"/>
  <c r="I364" i="17"/>
  <c r="H364" i="17"/>
  <c r="G364" i="17"/>
  <c r="F364" i="17"/>
  <c r="E364" i="17"/>
  <c r="C364" i="17"/>
  <c r="B364" i="17"/>
  <c r="I363" i="17"/>
  <c r="H363" i="17"/>
  <c r="G363" i="17"/>
  <c r="F363" i="17"/>
  <c r="E363" i="17"/>
  <c r="C363" i="17"/>
  <c r="B363" i="17"/>
  <c r="I362" i="17"/>
  <c r="H362" i="17"/>
  <c r="G362" i="17"/>
  <c r="F362" i="17"/>
  <c r="E362" i="17"/>
  <c r="C362" i="17"/>
  <c r="B362" i="17"/>
  <c r="I361" i="17"/>
  <c r="H361" i="17"/>
  <c r="G361" i="17"/>
  <c r="F361" i="17"/>
  <c r="E361" i="17"/>
  <c r="C361" i="17"/>
  <c r="B361" i="17"/>
  <c r="I360" i="17"/>
  <c r="H360" i="17"/>
  <c r="G360" i="17"/>
  <c r="F360" i="17"/>
  <c r="E360" i="17"/>
  <c r="C360" i="17"/>
  <c r="B360" i="17"/>
  <c r="I359" i="17"/>
  <c r="H359" i="17"/>
  <c r="G359" i="17"/>
  <c r="F359" i="17"/>
  <c r="E359" i="17"/>
  <c r="C359" i="17"/>
  <c r="B359" i="17"/>
  <c r="I358" i="17"/>
  <c r="H358" i="17"/>
  <c r="G358" i="17"/>
  <c r="F358" i="17"/>
  <c r="E358" i="17"/>
  <c r="C358" i="17"/>
  <c r="B358" i="17"/>
  <c r="I357" i="17"/>
  <c r="H357" i="17"/>
  <c r="G357" i="17"/>
  <c r="F357" i="17"/>
  <c r="E357" i="17"/>
  <c r="C357" i="17"/>
  <c r="B357" i="17"/>
  <c r="I356" i="17"/>
  <c r="H356" i="17"/>
  <c r="G356" i="17"/>
  <c r="F356" i="17"/>
  <c r="E356" i="17"/>
  <c r="C356" i="17"/>
  <c r="B356" i="17"/>
  <c r="I355" i="17"/>
  <c r="H355" i="17"/>
  <c r="G355" i="17"/>
  <c r="F355" i="17"/>
  <c r="E355" i="17"/>
  <c r="C355" i="17"/>
  <c r="B355" i="17"/>
  <c r="I354" i="17"/>
  <c r="H354" i="17"/>
  <c r="G354" i="17"/>
  <c r="F354" i="17"/>
  <c r="E354" i="17"/>
  <c r="C354" i="17"/>
  <c r="B354" i="17"/>
  <c r="I353" i="17"/>
  <c r="H353" i="17"/>
  <c r="G353" i="17"/>
  <c r="F353" i="17"/>
  <c r="E353" i="17"/>
  <c r="C353" i="17"/>
  <c r="B353" i="17"/>
  <c r="I352" i="17"/>
  <c r="H352" i="17"/>
  <c r="G352" i="17"/>
  <c r="F352" i="17"/>
  <c r="E352" i="17"/>
  <c r="C352" i="17"/>
  <c r="B352" i="17"/>
  <c r="I351" i="17"/>
  <c r="H351" i="17"/>
  <c r="G351" i="17"/>
  <c r="F351" i="17"/>
  <c r="E351" i="17"/>
  <c r="C351" i="17"/>
  <c r="B351" i="17"/>
  <c r="I350" i="17"/>
  <c r="H350" i="17"/>
  <c r="G350" i="17"/>
  <c r="F350" i="17"/>
  <c r="E350" i="17"/>
  <c r="C350" i="17"/>
  <c r="B350" i="17"/>
  <c r="I349" i="17"/>
  <c r="H349" i="17"/>
  <c r="G349" i="17"/>
  <c r="F349" i="17"/>
  <c r="E349" i="17"/>
  <c r="C349" i="17"/>
  <c r="B349" i="17"/>
  <c r="I348" i="17"/>
  <c r="H348" i="17"/>
  <c r="G348" i="17"/>
  <c r="F348" i="17"/>
  <c r="E348" i="17"/>
  <c r="C348" i="17"/>
  <c r="B348" i="17"/>
  <c r="I347" i="17"/>
  <c r="H347" i="17"/>
  <c r="G347" i="17"/>
  <c r="F347" i="17"/>
  <c r="E347" i="17"/>
  <c r="C347" i="17"/>
  <c r="B347" i="17"/>
  <c r="I346" i="17"/>
  <c r="H346" i="17"/>
  <c r="G346" i="17"/>
  <c r="F346" i="17"/>
  <c r="E346" i="17"/>
  <c r="C346" i="17"/>
  <c r="B346" i="17"/>
  <c r="I345" i="17"/>
  <c r="H345" i="17"/>
  <c r="G345" i="17"/>
  <c r="F345" i="17"/>
  <c r="E345" i="17"/>
  <c r="C345" i="17"/>
  <c r="B345" i="17"/>
  <c r="I344" i="17"/>
  <c r="H344" i="17"/>
  <c r="G344" i="17"/>
  <c r="F344" i="17"/>
  <c r="E344" i="17"/>
  <c r="C344" i="17"/>
  <c r="B344" i="17"/>
  <c r="I343" i="17"/>
  <c r="H343" i="17"/>
  <c r="G343" i="17"/>
  <c r="F343" i="17"/>
  <c r="E343" i="17"/>
  <c r="C343" i="17"/>
  <c r="B343" i="17"/>
  <c r="I342" i="17"/>
  <c r="H342" i="17"/>
  <c r="G342" i="17"/>
  <c r="F342" i="17"/>
  <c r="E342" i="17"/>
  <c r="C342" i="17"/>
  <c r="B342" i="17"/>
  <c r="I341" i="17"/>
  <c r="H341" i="17"/>
  <c r="G341" i="17"/>
  <c r="F341" i="17"/>
  <c r="E341" i="17"/>
  <c r="C341" i="17"/>
  <c r="B341" i="17"/>
  <c r="I340" i="17"/>
  <c r="H340" i="17"/>
  <c r="G340" i="17"/>
  <c r="F340" i="17"/>
  <c r="E340" i="17"/>
  <c r="C340" i="17"/>
  <c r="B340" i="17"/>
  <c r="I339" i="17"/>
  <c r="H339" i="17"/>
  <c r="G339" i="17"/>
  <c r="F339" i="17"/>
  <c r="E339" i="17"/>
  <c r="C339" i="17"/>
  <c r="B339" i="17"/>
  <c r="I338" i="17"/>
  <c r="H338" i="17"/>
  <c r="G338" i="17"/>
  <c r="F338" i="17"/>
  <c r="E338" i="17"/>
  <c r="C338" i="17"/>
  <c r="B338" i="17"/>
  <c r="I337" i="17"/>
  <c r="H337" i="17"/>
  <c r="G337" i="17"/>
  <c r="F337" i="17"/>
  <c r="E337" i="17"/>
  <c r="C337" i="17"/>
  <c r="B337" i="17"/>
  <c r="I336" i="17"/>
  <c r="H336" i="17"/>
  <c r="G336" i="17"/>
  <c r="F336" i="17"/>
  <c r="E336" i="17"/>
  <c r="C336" i="17"/>
  <c r="B336" i="17"/>
  <c r="I335" i="17"/>
  <c r="H335" i="17"/>
  <c r="G335" i="17"/>
  <c r="F335" i="17"/>
  <c r="E335" i="17"/>
  <c r="C335" i="17"/>
  <c r="B335" i="17"/>
  <c r="I334" i="17"/>
  <c r="H334" i="17"/>
  <c r="G334" i="17"/>
  <c r="F334" i="17"/>
  <c r="E334" i="17"/>
  <c r="C334" i="17"/>
  <c r="B334" i="17"/>
  <c r="I333" i="17"/>
  <c r="H333" i="17"/>
  <c r="G333" i="17"/>
  <c r="F333" i="17"/>
  <c r="E333" i="17"/>
  <c r="C333" i="17"/>
  <c r="B333" i="17"/>
  <c r="I332" i="17"/>
  <c r="H332" i="17"/>
  <c r="G332" i="17"/>
  <c r="F332" i="17"/>
  <c r="E332" i="17"/>
  <c r="C332" i="17"/>
  <c r="B332" i="17"/>
  <c r="I331" i="17"/>
  <c r="H331" i="17"/>
  <c r="G331" i="17"/>
  <c r="F331" i="17"/>
  <c r="E331" i="17"/>
  <c r="C331" i="17"/>
  <c r="B331" i="17"/>
  <c r="I330" i="17"/>
  <c r="H330" i="17"/>
  <c r="G330" i="17"/>
  <c r="F330" i="17"/>
  <c r="E330" i="17"/>
  <c r="C330" i="17"/>
  <c r="B330" i="17"/>
  <c r="I329" i="17"/>
  <c r="H329" i="17"/>
  <c r="G329" i="17"/>
  <c r="F329" i="17"/>
  <c r="E329" i="17"/>
  <c r="C329" i="17"/>
  <c r="B329" i="17"/>
  <c r="I328" i="17"/>
  <c r="H328" i="17"/>
  <c r="G328" i="17"/>
  <c r="F328" i="17"/>
  <c r="E328" i="17"/>
  <c r="C328" i="17"/>
  <c r="B328" i="17"/>
  <c r="I327" i="17"/>
  <c r="H327" i="17"/>
  <c r="G327" i="17"/>
  <c r="F327" i="17"/>
  <c r="E327" i="17"/>
  <c r="C327" i="17"/>
  <c r="B327" i="17"/>
  <c r="I326" i="17"/>
  <c r="H326" i="17"/>
  <c r="G326" i="17"/>
  <c r="F326" i="17"/>
  <c r="E326" i="17"/>
  <c r="C326" i="17"/>
  <c r="B326" i="17"/>
  <c r="I325" i="17"/>
  <c r="H325" i="17"/>
  <c r="G325" i="17"/>
  <c r="F325" i="17"/>
  <c r="E325" i="17"/>
  <c r="C325" i="17"/>
  <c r="B325" i="17"/>
  <c r="I324" i="17"/>
  <c r="H324" i="17"/>
  <c r="G324" i="17"/>
  <c r="F324" i="17"/>
  <c r="E324" i="17"/>
  <c r="C324" i="17"/>
  <c r="B324" i="17"/>
  <c r="I323" i="17"/>
  <c r="H323" i="17"/>
  <c r="G323" i="17"/>
  <c r="F323" i="17"/>
  <c r="E323" i="17"/>
  <c r="C323" i="17"/>
  <c r="B323" i="17"/>
  <c r="I322" i="17"/>
  <c r="H322" i="17"/>
  <c r="G322" i="17"/>
  <c r="F322" i="17"/>
  <c r="E322" i="17"/>
  <c r="C322" i="17"/>
  <c r="B322" i="17"/>
  <c r="I321" i="17"/>
  <c r="H321" i="17"/>
  <c r="G321" i="17"/>
  <c r="F321" i="17"/>
  <c r="E321" i="17"/>
  <c r="C321" i="17"/>
  <c r="B321" i="17"/>
  <c r="I320" i="17"/>
  <c r="H320" i="17"/>
  <c r="G320" i="17"/>
  <c r="F320" i="17"/>
  <c r="E320" i="17"/>
  <c r="C320" i="17"/>
  <c r="B320" i="17"/>
  <c r="I319" i="17"/>
  <c r="H319" i="17"/>
  <c r="G319" i="17"/>
  <c r="F319" i="17"/>
  <c r="E319" i="17"/>
  <c r="C319" i="17"/>
  <c r="B319" i="17"/>
  <c r="I318" i="17"/>
  <c r="H318" i="17"/>
  <c r="G318" i="17"/>
  <c r="F318" i="17"/>
  <c r="E318" i="17"/>
  <c r="C318" i="17"/>
  <c r="B318" i="17"/>
  <c r="I317" i="17"/>
  <c r="H317" i="17"/>
  <c r="G317" i="17"/>
  <c r="F317" i="17"/>
  <c r="E317" i="17"/>
  <c r="C317" i="17"/>
  <c r="B317" i="17"/>
  <c r="I316" i="17"/>
  <c r="H316" i="17"/>
  <c r="G316" i="17"/>
  <c r="F316" i="17"/>
  <c r="E316" i="17"/>
  <c r="C316" i="17"/>
  <c r="B316" i="17"/>
  <c r="I315" i="17"/>
  <c r="H315" i="17"/>
  <c r="G315" i="17"/>
  <c r="F315" i="17"/>
  <c r="E315" i="17"/>
  <c r="C315" i="17"/>
  <c r="B315" i="17"/>
  <c r="I314" i="17"/>
  <c r="H314" i="17"/>
  <c r="G314" i="17"/>
  <c r="F314" i="17"/>
  <c r="E314" i="17"/>
  <c r="C314" i="17"/>
  <c r="B314" i="17"/>
  <c r="I313" i="17"/>
  <c r="H313" i="17"/>
  <c r="G313" i="17"/>
  <c r="F313" i="17"/>
  <c r="E313" i="17"/>
  <c r="C313" i="17"/>
  <c r="B313" i="17"/>
  <c r="I312" i="17"/>
  <c r="H312" i="17"/>
  <c r="G312" i="17"/>
  <c r="F312" i="17"/>
  <c r="E312" i="17"/>
  <c r="C312" i="17"/>
  <c r="B312" i="17"/>
  <c r="I311" i="17"/>
  <c r="H311" i="17"/>
  <c r="G311" i="17"/>
  <c r="F311" i="17"/>
  <c r="E311" i="17"/>
  <c r="C311" i="17"/>
  <c r="B311" i="17"/>
  <c r="I310" i="17"/>
  <c r="H310" i="17"/>
  <c r="G310" i="17"/>
  <c r="F310" i="17"/>
  <c r="E310" i="17"/>
  <c r="C310" i="17"/>
  <c r="B310" i="17"/>
  <c r="I309" i="17"/>
  <c r="H309" i="17"/>
  <c r="G309" i="17"/>
  <c r="F309" i="17"/>
  <c r="E309" i="17"/>
  <c r="C309" i="17"/>
  <c r="B309" i="17"/>
  <c r="I308" i="17"/>
  <c r="H308" i="17"/>
  <c r="G308" i="17"/>
  <c r="F308" i="17"/>
  <c r="E308" i="17"/>
  <c r="C308" i="17"/>
  <c r="B308" i="17"/>
  <c r="I307" i="17"/>
  <c r="H307" i="17"/>
  <c r="G307" i="17"/>
  <c r="F307" i="17"/>
  <c r="E307" i="17"/>
  <c r="C307" i="17"/>
  <c r="B307" i="17"/>
  <c r="I306" i="17"/>
  <c r="H306" i="17"/>
  <c r="G306" i="17"/>
  <c r="F306" i="17"/>
  <c r="E306" i="17"/>
  <c r="C306" i="17"/>
  <c r="B306" i="17"/>
  <c r="I305" i="17"/>
  <c r="H305" i="17"/>
  <c r="G305" i="17"/>
  <c r="F305" i="17"/>
  <c r="E305" i="17"/>
  <c r="C305" i="17"/>
  <c r="B305" i="17"/>
  <c r="I304" i="17"/>
  <c r="H304" i="17"/>
  <c r="G304" i="17"/>
  <c r="F304" i="17"/>
  <c r="E304" i="17"/>
  <c r="C304" i="17"/>
  <c r="B304" i="17"/>
  <c r="I303" i="17"/>
  <c r="H303" i="17"/>
  <c r="G303" i="17"/>
  <c r="F303" i="17"/>
  <c r="E303" i="17"/>
  <c r="C303" i="17"/>
  <c r="B303" i="17"/>
  <c r="I302" i="17"/>
  <c r="H302" i="17"/>
  <c r="G302" i="17"/>
  <c r="F302" i="17"/>
  <c r="E302" i="17"/>
  <c r="C302" i="17"/>
  <c r="B302" i="17"/>
  <c r="I301" i="17"/>
  <c r="H301" i="17"/>
  <c r="G301" i="17"/>
  <c r="F301" i="17"/>
  <c r="E301" i="17"/>
  <c r="C301" i="17"/>
  <c r="B301" i="17"/>
  <c r="I300" i="17"/>
  <c r="H300" i="17"/>
  <c r="G300" i="17"/>
  <c r="F300" i="17"/>
  <c r="E300" i="17"/>
  <c r="C300" i="17"/>
  <c r="B300" i="17"/>
  <c r="I299" i="17"/>
  <c r="H299" i="17"/>
  <c r="G299" i="17"/>
  <c r="F299" i="17"/>
  <c r="E299" i="17"/>
  <c r="C299" i="17"/>
  <c r="B299" i="17"/>
  <c r="I298" i="17"/>
  <c r="H298" i="17"/>
  <c r="G298" i="17"/>
  <c r="F298" i="17"/>
  <c r="E298" i="17"/>
  <c r="C298" i="17"/>
  <c r="B298" i="17"/>
  <c r="I297" i="17"/>
  <c r="H297" i="17"/>
  <c r="G297" i="17"/>
  <c r="F297" i="17"/>
  <c r="E297" i="17"/>
  <c r="C297" i="17"/>
  <c r="B297" i="17"/>
  <c r="I296" i="17"/>
  <c r="H296" i="17"/>
  <c r="G296" i="17"/>
  <c r="F296" i="17"/>
  <c r="E296" i="17"/>
  <c r="C296" i="17"/>
  <c r="B296" i="17"/>
  <c r="I295" i="17"/>
  <c r="H295" i="17"/>
  <c r="G295" i="17"/>
  <c r="F295" i="17"/>
  <c r="E295" i="17"/>
  <c r="C295" i="17"/>
  <c r="B295" i="17"/>
  <c r="I294" i="17"/>
  <c r="H294" i="17"/>
  <c r="G294" i="17"/>
  <c r="F294" i="17"/>
  <c r="E294" i="17"/>
  <c r="C294" i="17"/>
  <c r="B294" i="17"/>
  <c r="I293" i="17"/>
  <c r="H293" i="17"/>
  <c r="G293" i="17"/>
  <c r="F293" i="17"/>
  <c r="E293" i="17"/>
  <c r="C293" i="17"/>
  <c r="B293" i="17"/>
  <c r="I292" i="17"/>
  <c r="H292" i="17"/>
  <c r="G292" i="17"/>
  <c r="F292" i="17"/>
  <c r="E292" i="17"/>
  <c r="C292" i="17"/>
  <c r="B292" i="17"/>
  <c r="I291" i="17"/>
  <c r="H291" i="17"/>
  <c r="G291" i="17"/>
  <c r="F291" i="17"/>
  <c r="E291" i="17"/>
  <c r="C291" i="17"/>
  <c r="B291" i="17"/>
  <c r="I290" i="17"/>
  <c r="H290" i="17"/>
  <c r="G290" i="17"/>
  <c r="F290" i="17"/>
  <c r="E290" i="17"/>
  <c r="C290" i="17"/>
  <c r="B290" i="17"/>
  <c r="I289" i="17"/>
  <c r="H289" i="17"/>
  <c r="G289" i="17"/>
  <c r="F289" i="17"/>
  <c r="E289" i="17"/>
  <c r="C289" i="17"/>
  <c r="B289" i="17"/>
  <c r="I288" i="17"/>
  <c r="H288" i="17"/>
  <c r="G288" i="17"/>
  <c r="F288" i="17"/>
  <c r="E288" i="17"/>
  <c r="C288" i="17"/>
  <c r="B288" i="17"/>
  <c r="I287" i="17"/>
  <c r="H287" i="17"/>
  <c r="G287" i="17"/>
  <c r="F287" i="17"/>
  <c r="E287" i="17"/>
  <c r="C287" i="17"/>
  <c r="B287" i="17"/>
  <c r="I286" i="17"/>
  <c r="H286" i="17"/>
  <c r="G286" i="17"/>
  <c r="F286" i="17"/>
  <c r="E286" i="17"/>
  <c r="C286" i="17"/>
  <c r="B286" i="17"/>
  <c r="I285" i="17"/>
  <c r="H285" i="17"/>
  <c r="G285" i="17"/>
  <c r="F285" i="17"/>
  <c r="E285" i="17"/>
  <c r="C285" i="17"/>
  <c r="B285" i="17"/>
  <c r="I284" i="17"/>
  <c r="H284" i="17"/>
  <c r="G284" i="17"/>
  <c r="F284" i="17"/>
  <c r="E284" i="17"/>
  <c r="C284" i="17"/>
  <c r="B284" i="17"/>
  <c r="I283" i="17"/>
  <c r="H283" i="17"/>
  <c r="G283" i="17"/>
  <c r="F283" i="17"/>
  <c r="E283" i="17"/>
  <c r="C283" i="17"/>
  <c r="B283" i="17"/>
  <c r="I282" i="17"/>
  <c r="H282" i="17"/>
  <c r="G282" i="17"/>
  <c r="F282" i="17"/>
  <c r="E282" i="17"/>
  <c r="C282" i="17"/>
  <c r="B282" i="17"/>
  <c r="I281" i="17"/>
  <c r="H281" i="17"/>
  <c r="G281" i="17"/>
  <c r="F281" i="17"/>
  <c r="E281" i="17"/>
  <c r="C281" i="17"/>
  <c r="B281" i="17"/>
  <c r="I280" i="17"/>
  <c r="H280" i="17"/>
  <c r="G280" i="17"/>
  <c r="F280" i="17"/>
  <c r="E280" i="17"/>
  <c r="C280" i="17"/>
  <c r="B280" i="17"/>
  <c r="I279" i="17"/>
  <c r="H279" i="17"/>
  <c r="G279" i="17"/>
  <c r="F279" i="17"/>
  <c r="E279" i="17"/>
  <c r="C279" i="17"/>
  <c r="B279" i="17"/>
  <c r="I278" i="17"/>
  <c r="H278" i="17"/>
  <c r="G278" i="17"/>
  <c r="F278" i="17"/>
  <c r="E278" i="17"/>
  <c r="C278" i="17"/>
  <c r="B278" i="17"/>
  <c r="I277" i="17"/>
  <c r="H277" i="17"/>
  <c r="G277" i="17"/>
  <c r="F277" i="17"/>
  <c r="E277" i="17"/>
  <c r="C277" i="17"/>
  <c r="B277" i="17"/>
  <c r="I276" i="17"/>
  <c r="H276" i="17"/>
  <c r="G276" i="17"/>
  <c r="F276" i="17"/>
  <c r="E276" i="17"/>
  <c r="C276" i="17"/>
  <c r="B276" i="17"/>
  <c r="I275" i="17"/>
  <c r="H275" i="17"/>
  <c r="G275" i="17"/>
  <c r="F275" i="17"/>
  <c r="E275" i="17"/>
  <c r="C275" i="17"/>
  <c r="B275" i="17"/>
  <c r="I274" i="17"/>
  <c r="H274" i="17"/>
  <c r="G274" i="17"/>
  <c r="F274" i="17"/>
  <c r="E274" i="17"/>
  <c r="C274" i="17"/>
  <c r="B274" i="17"/>
  <c r="I273" i="17"/>
  <c r="H273" i="17"/>
  <c r="G273" i="17"/>
  <c r="F273" i="17"/>
  <c r="E273" i="17"/>
  <c r="C273" i="17"/>
  <c r="B273" i="17"/>
  <c r="I272" i="17"/>
  <c r="H272" i="17"/>
  <c r="G272" i="17"/>
  <c r="F272" i="17"/>
  <c r="E272" i="17"/>
  <c r="C272" i="17"/>
  <c r="B272" i="17"/>
  <c r="I271" i="17"/>
  <c r="H271" i="17"/>
  <c r="G271" i="17"/>
  <c r="F271" i="17"/>
  <c r="E271" i="17"/>
  <c r="C271" i="17"/>
  <c r="B271" i="17"/>
  <c r="I270" i="17"/>
  <c r="H270" i="17"/>
  <c r="G270" i="17"/>
  <c r="F270" i="17"/>
  <c r="E270" i="17"/>
  <c r="C270" i="17"/>
  <c r="B270" i="17"/>
  <c r="I269" i="17"/>
  <c r="H269" i="17"/>
  <c r="G269" i="17"/>
  <c r="F269" i="17"/>
  <c r="E269" i="17"/>
  <c r="C269" i="17"/>
  <c r="B269" i="17"/>
  <c r="I268" i="17"/>
  <c r="H268" i="17"/>
  <c r="G268" i="17"/>
  <c r="F268" i="17"/>
  <c r="E268" i="17"/>
  <c r="C268" i="17"/>
  <c r="B268" i="17"/>
  <c r="I267" i="17"/>
  <c r="H267" i="17"/>
  <c r="G267" i="17"/>
  <c r="F267" i="17"/>
  <c r="E267" i="17"/>
  <c r="C267" i="17"/>
  <c r="B267" i="17"/>
  <c r="I266" i="17"/>
  <c r="H266" i="17"/>
  <c r="G266" i="17"/>
  <c r="F266" i="17"/>
  <c r="E266" i="17"/>
  <c r="C266" i="17"/>
  <c r="B266" i="17"/>
  <c r="I265" i="17"/>
  <c r="H265" i="17"/>
  <c r="G265" i="17"/>
  <c r="F265" i="17"/>
  <c r="E265" i="17"/>
  <c r="C265" i="17"/>
  <c r="B265" i="17"/>
  <c r="I264" i="17"/>
  <c r="H264" i="17"/>
  <c r="G264" i="17"/>
  <c r="F264" i="17"/>
  <c r="E264" i="17"/>
  <c r="C264" i="17"/>
  <c r="B264" i="17"/>
  <c r="I263" i="17"/>
  <c r="H263" i="17"/>
  <c r="G263" i="17"/>
  <c r="F263" i="17"/>
  <c r="E263" i="17"/>
  <c r="C263" i="17"/>
  <c r="B263" i="17"/>
  <c r="I262" i="17"/>
  <c r="H262" i="17"/>
  <c r="G262" i="17"/>
  <c r="F262" i="17"/>
  <c r="E262" i="17"/>
  <c r="C262" i="17"/>
  <c r="B262" i="17"/>
  <c r="I261" i="17"/>
  <c r="H261" i="17"/>
  <c r="G261" i="17"/>
  <c r="F261" i="17"/>
  <c r="E261" i="17"/>
  <c r="C261" i="17"/>
  <c r="B261" i="17"/>
  <c r="I260" i="17"/>
  <c r="H260" i="17"/>
  <c r="G260" i="17"/>
  <c r="F260" i="17"/>
  <c r="E260" i="17"/>
  <c r="C260" i="17"/>
  <c r="B260" i="17"/>
  <c r="I259" i="17"/>
  <c r="H259" i="17"/>
  <c r="G259" i="17"/>
  <c r="F259" i="17"/>
  <c r="E259" i="17"/>
  <c r="C259" i="17"/>
  <c r="B259" i="17"/>
  <c r="I258" i="17"/>
  <c r="H258" i="17"/>
  <c r="G258" i="17"/>
  <c r="F258" i="17"/>
  <c r="E258" i="17"/>
  <c r="C258" i="17"/>
  <c r="B258" i="17"/>
  <c r="I257" i="17"/>
  <c r="H257" i="17"/>
  <c r="G257" i="17"/>
  <c r="F257" i="17"/>
  <c r="E257" i="17"/>
  <c r="C257" i="17"/>
  <c r="B257" i="17"/>
  <c r="I256" i="17"/>
  <c r="H256" i="17"/>
  <c r="G256" i="17"/>
  <c r="F256" i="17"/>
  <c r="E256" i="17"/>
  <c r="C256" i="17"/>
  <c r="B256" i="17"/>
  <c r="I255" i="17"/>
  <c r="H255" i="17"/>
  <c r="G255" i="17"/>
  <c r="F255" i="17"/>
  <c r="E255" i="17"/>
  <c r="C255" i="17"/>
  <c r="B255" i="17"/>
  <c r="I254" i="17"/>
  <c r="H254" i="17"/>
  <c r="G254" i="17"/>
  <c r="F254" i="17"/>
  <c r="E254" i="17"/>
  <c r="C254" i="17"/>
  <c r="B254" i="17"/>
  <c r="I253" i="17"/>
  <c r="H253" i="17"/>
  <c r="G253" i="17"/>
  <c r="F253" i="17"/>
  <c r="E253" i="17"/>
  <c r="C253" i="17"/>
  <c r="B253" i="17"/>
  <c r="I252" i="17"/>
  <c r="H252" i="17"/>
  <c r="G252" i="17"/>
  <c r="F252" i="17"/>
  <c r="E252" i="17"/>
  <c r="C252" i="17"/>
  <c r="B252" i="17"/>
  <c r="I251" i="17"/>
  <c r="H251" i="17"/>
  <c r="G251" i="17"/>
  <c r="F251" i="17"/>
  <c r="E251" i="17"/>
  <c r="C251" i="17"/>
  <c r="B251" i="17"/>
  <c r="I250" i="17"/>
  <c r="H250" i="17"/>
  <c r="G250" i="17"/>
  <c r="F250" i="17"/>
  <c r="E250" i="17"/>
  <c r="C250" i="17"/>
  <c r="B250" i="17"/>
  <c r="I249" i="17"/>
  <c r="H249" i="17"/>
  <c r="G249" i="17"/>
  <c r="F249" i="17"/>
  <c r="E249" i="17"/>
  <c r="C249" i="17"/>
  <c r="B249" i="17"/>
  <c r="I248" i="17"/>
  <c r="H248" i="17"/>
  <c r="G248" i="17"/>
  <c r="F248" i="17"/>
  <c r="E248" i="17"/>
  <c r="C248" i="17"/>
  <c r="B248" i="17"/>
  <c r="I247" i="17"/>
  <c r="H247" i="17"/>
  <c r="G247" i="17"/>
  <c r="F247" i="17"/>
  <c r="E247" i="17"/>
  <c r="C247" i="17"/>
  <c r="B247" i="17"/>
  <c r="I246" i="17"/>
  <c r="H246" i="17"/>
  <c r="G246" i="17"/>
  <c r="F246" i="17"/>
  <c r="E246" i="17"/>
  <c r="C246" i="17"/>
  <c r="B246" i="17"/>
  <c r="I245" i="17"/>
  <c r="H245" i="17"/>
  <c r="G245" i="17"/>
  <c r="F245" i="17"/>
  <c r="E245" i="17"/>
  <c r="C245" i="17"/>
  <c r="B245" i="17"/>
  <c r="I244" i="17"/>
  <c r="H244" i="17"/>
  <c r="G244" i="17"/>
  <c r="F244" i="17"/>
  <c r="E244" i="17"/>
  <c r="C244" i="17"/>
  <c r="B244" i="17"/>
  <c r="I243" i="17"/>
  <c r="H243" i="17"/>
  <c r="G243" i="17"/>
  <c r="F243" i="17"/>
  <c r="E243" i="17"/>
  <c r="C243" i="17"/>
  <c r="B243" i="17"/>
  <c r="I242" i="17"/>
  <c r="H242" i="17"/>
  <c r="G242" i="17"/>
  <c r="F242" i="17"/>
  <c r="E242" i="17"/>
  <c r="C242" i="17"/>
  <c r="B242" i="17"/>
  <c r="I241" i="17"/>
  <c r="H241" i="17"/>
  <c r="G241" i="17"/>
  <c r="F241" i="17"/>
  <c r="E241" i="17"/>
  <c r="C241" i="17"/>
  <c r="B241" i="17"/>
  <c r="I240" i="17"/>
  <c r="H240" i="17"/>
  <c r="G240" i="17"/>
  <c r="F240" i="17"/>
  <c r="E240" i="17"/>
  <c r="C240" i="17"/>
  <c r="B240" i="17"/>
  <c r="I239" i="17"/>
  <c r="H239" i="17"/>
  <c r="G239" i="17"/>
  <c r="F239" i="17"/>
  <c r="E239" i="17"/>
  <c r="C239" i="17"/>
  <c r="B239" i="17"/>
  <c r="I238" i="17"/>
  <c r="H238" i="17"/>
  <c r="G238" i="17"/>
  <c r="F238" i="17"/>
  <c r="E238" i="17"/>
  <c r="C238" i="17"/>
  <c r="B238" i="17"/>
  <c r="I237" i="17"/>
  <c r="H237" i="17"/>
  <c r="G237" i="17"/>
  <c r="F237" i="17"/>
  <c r="E237" i="17"/>
  <c r="C237" i="17"/>
  <c r="B237" i="17"/>
  <c r="I236" i="17"/>
  <c r="H236" i="17"/>
  <c r="G236" i="17"/>
  <c r="F236" i="17"/>
  <c r="E236" i="17"/>
  <c r="C236" i="17"/>
  <c r="B236" i="17"/>
  <c r="I235" i="17"/>
  <c r="H235" i="17"/>
  <c r="G235" i="17"/>
  <c r="F235" i="17"/>
  <c r="E235" i="17"/>
  <c r="C235" i="17"/>
  <c r="B235" i="17"/>
  <c r="I234" i="17"/>
  <c r="H234" i="17"/>
  <c r="G234" i="17"/>
  <c r="F234" i="17"/>
  <c r="E234" i="17"/>
  <c r="C234" i="17"/>
  <c r="B234" i="17"/>
  <c r="I233" i="17"/>
  <c r="H233" i="17"/>
  <c r="G233" i="17"/>
  <c r="F233" i="17"/>
  <c r="E233" i="17"/>
  <c r="C233" i="17"/>
  <c r="B233" i="17"/>
  <c r="I232" i="17"/>
  <c r="H232" i="17"/>
  <c r="G232" i="17"/>
  <c r="F232" i="17"/>
  <c r="E232" i="17"/>
  <c r="C232" i="17"/>
  <c r="B232" i="17"/>
  <c r="I231" i="17"/>
  <c r="H231" i="17"/>
  <c r="G231" i="17"/>
  <c r="F231" i="17"/>
  <c r="E231" i="17"/>
  <c r="C231" i="17"/>
  <c r="B231" i="17"/>
  <c r="I230" i="17"/>
  <c r="H230" i="17"/>
  <c r="G230" i="17"/>
  <c r="F230" i="17"/>
  <c r="E230" i="17"/>
  <c r="C230" i="17"/>
  <c r="B230" i="17"/>
  <c r="I229" i="17"/>
  <c r="H229" i="17"/>
  <c r="G229" i="17"/>
  <c r="F229" i="17"/>
  <c r="E229" i="17"/>
  <c r="C229" i="17"/>
  <c r="B229" i="17"/>
  <c r="I228" i="17"/>
  <c r="H228" i="17"/>
  <c r="G228" i="17"/>
  <c r="F228" i="17"/>
  <c r="E228" i="17"/>
  <c r="C228" i="17"/>
  <c r="B228" i="17"/>
  <c r="I227" i="17"/>
  <c r="H227" i="17"/>
  <c r="G227" i="17"/>
  <c r="F227" i="17"/>
  <c r="E227" i="17"/>
  <c r="C227" i="17"/>
  <c r="B227" i="17"/>
  <c r="I226" i="17"/>
  <c r="H226" i="17"/>
  <c r="G226" i="17"/>
  <c r="F226" i="17"/>
  <c r="E226" i="17"/>
  <c r="C226" i="17"/>
  <c r="B226" i="17"/>
  <c r="I225" i="17"/>
  <c r="H225" i="17"/>
  <c r="G225" i="17"/>
  <c r="F225" i="17"/>
  <c r="E225" i="17"/>
  <c r="C225" i="17"/>
  <c r="B225" i="17"/>
  <c r="I224" i="17"/>
  <c r="H224" i="17"/>
  <c r="G224" i="17"/>
  <c r="F224" i="17"/>
  <c r="E224" i="17"/>
  <c r="C224" i="17"/>
  <c r="B224" i="17"/>
  <c r="I223" i="17"/>
  <c r="H223" i="17"/>
  <c r="G223" i="17"/>
  <c r="F223" i="17"/>
  <c r="E223" i="17"/>
  <c r="C223" i="17"/>
  <c r="B223" i="17"/>
  <c r="I222" i="17"/>
  <c r="H222" i="17"/>
  <c r="G222" i="17"/>
  <c r="F222" i="17"/>
  <c r="E222" i="17"/>
  <c r="C222" i="17"/>
  <c r="B222" i="17"/>
  <c r="I221" i="17"/>
  <c r="H221" i="17"/>
  <c r="G221" i="17"/>
  <c r="F221" i="17"/>
  <c r="E221" i="17"/>
  <c r="C221" i="17"/>
  <c r="B221" i="17"/>
  <c r="I220" i="17"/>
  <c r="H220" i="17"/>
  <c r="G220" i="17"/>
  <c r="F220" i="17"/>
  <c r="E220" i="17"/>
  <c r="C220" i="17"/>
  <c r="B220" i="17"/>
  <c r="I219" i="17"/>
  <c r="H219" i="17"/>
  <c r="G219" i="17"/>
  <c r="F219" i="17"/>
  <c r="E219" i="17"/>
  <c r="C219" i="17"/>
  <c r="B219" i="17"/>
  <c r="I218" i="17"/>
  <c r="H218" i="17"/>
  <c r="G218" i="17"/>
  <c r="F218" i="17"/>
  <c r="E218" i="17"/>
  <c r="C218" i="17"/>
  <c r="B218" i="17"/>
  <c r="I217" i="17"/>
  <c r="H217" i="17"/>
  <c r="G217" i="17"/>
  <c r="F217" i="17"/>
  <c r="E217" i="17"/>
  <c r="C217" i="17"/>
  <c r="B217" i="17"/>
  <c r="I216" i="17"/>
  <c r="H216" i="17"/>
  <c r="G216" i="17"/>
  <c r="F216" i="17"/>
  <c r="E216" i="17"/>
  <c r="C216" i="17"/>
  <c r="B216" i="17"/>
  <c r="I215" i="17"/>
  <c r="H215" i="17"/>
  <c r="G215" i="17"/>
  <c r="F215" i="17"/>
  <c r="E215" i="17"/>
  <c r="C215" i="17"/>
  <c r="B215" i="17"/>
  <c r="I214" i="17"/>
  <c r="H214" i="17"/>
  <c r="G214" i="17"/>
  <c r="F214" i="17"/>
  <c r="E214" i="17"/>
  <c r="C214" i="17"/>
  <c r="B214" i="17"/>
  <c r="I213" i="17"/>
  <c r="H213" i="17"/>
  <c r="G213" i="17"/>
  <c r="F213" i="17"/>
  <c r="E213" i="17"/>
  <c r="C213" i="17"/>
  <c r="B213" i="17"/>
  <c r="I212" i="17"/>
  <c r="H212" i="17"/>
  <c r="G212" i="17"/>
  <c r="F212" i="17"/>
  <c r="E212" i="17"/>
  <c r="C212" i="17"/>
  <c r="B212" i="17"/>
  <c r="I211" i="17"/>
  <c r="H211" i="17"/>
  <c r="G211" i="17"/>
  <c r="F211" i="17"/>
  <c r="E211" i="17"/>
  <c r="C211" i="17"/>
  <c r="B211" i="17"/>
  <c r="I210" i="17"/>
  <c r="H210" i="17"/>
  <c r="G210" i="17"/>
  <c r="F210" i="17"/>
  <c r="E210" i="17"/>
  <c r="C210" i="17"/>
  <c r="B210" i="17"/>
  <c r="I209" i="17"/>
  <c r="H209" i="17"/>
  <c r="G209" i="17"/>
  <c r="F209" i="17"/>
  <c r="E209" i="17"/>
  <c r="C209" i="17"/>
  <c r="B209" i="17"/>
  <c r="I208" i="17"/>
  <c r="H208" i="17"/>
  <c r="G208" i="17"/>
  <c r="F208" i="17"/>
  <c r="E208" i="17"/>
  <c r="C208" i="17"/>
  <c r="B208" i="17"/>
  <c r="I207" i="17"/>
  <c r="H207" i="17"/>
  <c r="G207" i="17"/>
  <c r="F207" i="17"/>
  <c r="E207" i="17"/>
  <c r="C207" i="17"/>
  <c r="B207" i="17"/>
  <c r="I206" i="17"/>
  <c r="H206" i="17"/>
  <c r="G206" i="17"/>
  <c r="F206" i="17"/>
  <c r="E206" i="17"/>
  <c r="C206" i="17"/>
  <c r="B206" i="17"/>
  <c r="I205" i="17"/>
  <c r="H205" i="17"/>
  <c r="G205" i="17"/>
  <c r="F205" i="17"/>
  <c r="E205" i="17"/>
  <c r="C205" i="17"/>
  <c r="B205" i="17"/>
  <c r="I204" i="17"/>
  <c r="H204" i="17"/>
  <c r="G204" i="17"/>
  <c r="F204" i="17"/>
  <c r="E204" i="17"/>
  <c r="C204" i="17"/>
  <c r="B204" i="17"/>
  <c r="I203" i="17"/>
  <c r="H203" i="17"/>
  <c r="G203" i="17"/>
  <c r="F203" i="17"/>
  <c r="E203" i="17"/>
  <c r="C203" i="17"/>
  <c r="B203" i="17"/>
  <c r="I202" i="17"/>
  <c r="H202" i="17"/>
  <c r="G202" i="17"/>
  <c r="F202" i="17"/>
  <c r="E202" i="17"/>
  <c r="C202" i="17"/>
  <c r="B202" i="17"/>
  <c r="I201" i="17"/>
  <c r="H201" i="17"/>
  <c r="G201" i="17"/>
  <c r="F201" i="17"/>
  <c r="E201" i="17"/>
  <c r="C201" i="17"/>
  <c r="B201" i="17"/>
  <c r="I200" i="17"/>
  <c r="H200" i="17"/>
  <c r="G200" i="17"/>
  <c r="F200" i="17"/>
  <c r="E200" i="17"/>
  <c r="C200" i="17"/>
  <c r="B200" i="17"/>
  <c r="I199" i="17"/>
  <c r="H199" i="17"/>
  <c r="G199" i="17"/>
  <c r="F199" i="17"/>
  <c r="E199" i="17"/>
  <c r="C199" i="17"/>
  <c r="B199" i="17"/>
  <c r="I198" i="17"/>
  <c r="H198" i="17"/>
  <c r="G198" i="17"/>
  <c r="F198" i="17"/>
  <c r="E198" i="17"/>
  <c r="C198" i="17"/>
  <c r="B198" i="17"/>
  <c r="I197" i="17"/>
  <c r="H197" i="17"/>
  <c r="G197" i="17"/>
  <c r="F197" i="17"/>
  <c r="E197" i="17"/>
  <c r="C197" i="17"/>
  <c r="B197" i="17"/>
  <c r="I196" i="17"/>
  <c r="H196" i="17"/>
  <c r="G196" i="17"/>
  <c r="F196" i="17"/>
  <c r="E196" i="17"/>
  <c r="C196" i="17"/>
  <c r="B196" i="17"/>
  <c r="I195" i="17"/>
  <c r="H195" i="17"/>
  <c r="G195" i="17"/>
  <c r="F195" i="17"/>
  <c r="E195" i="17"/>
  <c r="C195" i="17"/>
  <c r="B195" i="17"/>
  <c r="I194" i="17"/>
  <c r="H194" i="17"/>
  <c r="G194" i="17"/>
  <c r="F194" i="17"/>
  <c r="E194" i="17"/>
  <c r="C194" i="17"/>
  <c r="B194" i="17"/>
  <c r="I193" i="17"/>
  <c r="H193" i="17"/>
  <c r="G193" i="17"/>
  <c r="F193" i="17"/>
  <c r="E193" i="17"/>
  <c r="C193" i="17"/>
  <c r="B193" i="17"/>
  <c r="I192" i="17"/>
  <c r="H192" i="17"/>
  <c r="G192" i="17"/>
  <c r="F192" i="17"/>
  <c r="E192" i="17"/>
  <c r="C192" i="17"/>
  <c r="B192" i="17"/>
  <c r="I191" i="17"/>
  <c r="H191" i="17"/>
  <c r="G191" i="17"/>
  <c r="F191" i="17"/>
  <c r="E191" i="17"/>
  <c r="C191" i="17"/>
  <c r="B191" i="17"/>
  <c r="I190" i="17"/>
  <c r="H190" i="17"/>
  <c r="G190" i="17"/>
  <c r="F190" i="17"/>
  <c r="E190" i="17"/>
  <c r="C190" i="17"/>
  <c r="B190" i="17"/>
  <c r="I189" i="17"/>
  <c r="H189" i="17"/>
  <c r="G189" i="17"/>
  <c r="F189" i="17"/>
  <c r="E189" i="17"/>
  <c r="C189" i="17"/>
  <c r="B189" i="17"/>
  <c r="I188" i="17"/>
  <c r="H188" i="17"/>
  <c r="G188" i="17"/>
  <c r="F188" i="17"/>
  <c r="E188" i="17"/>
  <c r="C188" i="17"/>
  <c r="B188" i="17"/>
  <c r="I187" i="17"/>
  <c r="H187" i="17"/>
  <c r="G187" i="17"/>
  <c r="F187" i="17"/>
  <c r="E187" i="17"/>
  <c r="C187" i="17"/>
  <c r="B187" i="17"/>
  <c r="I186" i="17"/>
  <c r="H186" i="17"/>
  <c r="G186" i="17"/>
  <c r="F186" i="17"/>
  <c r="E186" i="17"/>
  <c r="C186" i="17"/>
  <c r="B186" i="17"/>
  <c r="I185" i="17"/>
  <c r="H185" i="17"/>
  <c r="G185" i="17"/>
  <c r="F185" i="17"/>
  <c r="E185" i="17"/>
  <c r="C185" i="17"/>
  <c r="B185" i="17"/>
  <c r="I184" i="17"/>
  <c r="H184" i="17"/>
  <c r="G184" i="17"/>
  <c r="F184" i="17"/>
  <c r="E184" i="17"/>
  <c r="C184" i="17"/>
  <c r="B184" i="17"/>
  <c r="I183" i="17"/>
  <c r="H183" i="17"/>
  <c r="G183" i="17"/>
  <c r="F183" i="17"/>
  <c r="E183" i="17"/>
  <c r="C183" i="17"/>
  <c r="B183" i="17"/>
  <c r="I182" i="17"/>
  <c r="H182" i="17"/>
  <c r="G182" i="17"/>
  <c r="F182" i="17"/>
  <c r="E182" i="17"/>
  <c r="C182" i="17"/>
  <c r="B182" i="17"/>
  <c r="I181" i="17"/>
  <c r="H181" i="17"/>
  <c r="G181" i="17"/>
  <c r="F181" i="17"/>
  <c r="E181" i="17"/>
  <c r="C181" i="17"/>
  <c r="B181" i="17"/>
  <c r="I180" i="17"/>
  <c r="H180" i="17"/>
  <c r="G180" i="17"/>
  <c r="F180" i="17"/>
  <c r="E180" i="17"/>
  <c r="C180" i="17"/>
  <c r="B180" i="17"/>
  <c r="I179" i="17"/>
  <c r="H179" i="17"/>
  <c r="G179" i="17"/>
  <c r="F179" i="17"/>
  <c r="E179" i="17"/>
  <c r="C179" i="17"/>
  <c r="B179" i="17"/>
  <c r="I178" i="17"/>
  <c r="H178" i="17"/>
  <c r="G178" i="17"/>
  <c r="F178" i="17"/>
  <c r="E178" i="17"/>
  <c r="C178" i="17"/>
  <c r="B178" i="17"/>
  <c r="I177" i="17"/>
  <c r="H177" i="17"/>
  <c r="G177" i="17"/>
  <c r="F177" i="17"/>
  <c r="E177" i="17"/>
  <c r="C177" i="17"/>
  <c r="B177" i="17"/>
  <c r="I176" i="17"/>
  <c r="H176" i="17"/>
  <c r="G176" i="17"/>
  <c r="F176" i="17"/>
  <c r="E176" i="17"/>
  <c r="C176" i="17"/>
  <c r="B176" i="17"/>
  <c r="I175" i="17"/>
  <c r="H175" i="17"/>
  <c r="G175" i="17"/>
  <c r="F175" i="17"/>
  <c r="E175" i="17"/>
  <c r="C175" i="17"/>
  <c r="B175" i="17"/>
  <c r="I174" i="17"/>
  <c r="H174" i="17"/>
  <c r="G174" i="17"/>
  <c r="F174" i="17"/>
  <c r="E174" i="17"/>
  <c r="C174" i="17"/>
  <c r="B174" i="17"/>
  <c r="I173" i="17"/>
  <c r="H173" i="17"/>
  <c r="G173" i="17"/>
  <c r="F173" i="17"/>
  <c r="E173" i="17"/>
  <c r="C173" i="17"/>
  <c r="B173" i="17"/>
  <c r="I172" i="17"/>
  <c r="H172" i="17"/>
  <c r="G172" i="17"/>
  <c r="F172" i="17"/>
  <c r="E172" i="17"/>
  <c r="C172" i="17"/>
  <c r="B172" i="17"/>
  <c r="I171" i="17"/>
  <c r="H171" i="17"/>
  <c r="G171" i="17"/>
  <c r="F171" i="17"/>
  <c r="E171" i="17"/>
  <c r="C171" i="17"/>
  <c r="B171" i="17"/>
  <c r="I170" i="17"/>
  <c r="H170" i="17"/>
  <c r="G170" i="17"/>
  <c r="F170" i="17"/>
  <c r="E170" i="17"/>
  <c r="C170" i="17"/>
  <c r="B170" i="17"/>
  <c r="I169" i="17"/>
  <c r="H169" i="17"/>
  <c r="G169" i="17"/>
  <c r="F169" i="17"/>
  <c r="E169" i="17"/>
  <c r="C169" i="17"/>
  <c r="B169" i="17"/>
  <c r="I168" i="17"/>
  <c r="H168" i="17"/>
  <c r="G168" i="17"/>
  <c r="F168" i="17"/>
  <c r="E168" i="17"/>
  <c r="C168" i="17"/>
  <c r="B168" i="17"/>
  <c r="I167" i="17"/>
  <c r="H167" i="17"/>
  <c r="G167" i="17"/>
  <c r="F167" i="17"/>
  <c r="E167" i="17"/>
  <c r="C167" i="17"/>
  <c r="B167" i="17"/>
  <c r="I166" i="17"/>
  <c r="H166" i="17"/>
  <c r="G166" i="17"/>
  <c r="F166" i="17"/>
  <c r="E166" i="17"/>
  <c r="C166" i="17"/>
  <c r="B166" i="17"/>
  <c r="I165" i="17"/>
  <c r="H165" i="17"/>
  <c r="G165" i="17"/>
  <c r="F165" i="17"/>
  <c r="E165" i="17"/>
  <c r="C165" i="17"/>
  <c r="B165" i="17"/>
  <c r="I164" i="17"/>
  <c r="H164" i="17"/>
  <c r="G164" i="17"/>
  <c r="F164" i="17"/>
  <c r="E164" i="17"/>
  <c r="C164" i="17"/>
  <c r="B164" i="17"/>
  <c r="I163" i="17"/>
  <c r="H163" i="17"/>
  <c r="G163" i="17"/>
  <c r="F163" i="17"/>
  <c r="E163" i="17"/>
  <c r="C163" i="17"/>
  <c r="B163" i="17"/>
  <c r="I162" i="17"/>
  <c r="H162" i="17"/>
  <c r="G162" i="17"/>
  <c r="F162" i="17"/>
  <c r="E162" i="17"/>
  <c r="C162" i="17"/>
  <c r="B162" i="17"/>
  <c r="I161" i="17"/>
  <c r="H161" i="17"/>
  <c r="G161" i="17"/>
  <c r="F161" i="17"/>
  <c r="E161" i="17"/>
  <c r="C161" i="17"/>
  <c r="B161" i="17"/>
  <c r="I160" i="17"/>
  <c r="H160" i="17"/>
  <c r="G160" i="17"/>
  <c r="F160" i="17"/>
  <c r="E160" i="17"/>
  <c r="C160" i="17"/>
  <c r="B160" i="17"/>
  <c r="I159" i="17"/>
  <c r="H159" i="17"/>
  <c r="G159" i="17"/>
  <c r="F159" i="17"/>
  <c r="E159" i="17"/>
  <c r="C159" i="17"/>
  <c r="B159" i="17"/>
  <c r="I158" i="17"/>
  <c r="H158" i="17"/>
  <c r="G158" i="17"/>
  <c r="F158" i="17"/>
  <c r="E158" i="17"/>
  <c r="C158" i="17"/>
  <c r="B158" i="17"/>
  <c r="I157" i="17"/>
  <c r="H157" i="17"/>
  <c r="G157" i="17"/>
  <c r="F157" i="17"/>
  <c r="E157" i="17"/>
  <c r="C157" i="17"/>
  <c r="B157" i="17"/>
  <c r="I156" i="17"/>
  <c r="H156" i="17"/>
  <c r="G156" i="17"/>
  <c r="F156" i="17"/>
  <c r="E156" i="17"/>
  <c r="C156" i="17"/>
  <c r="B156" i="17"/>
  <c r="I155" i="17"/>
  <c r="H155" i="17"/>
  <c r="G155" i="17"/>
  <c r="F155" i="17"/>
  <c r="E155" i="17"/>
  <c r="C155" i="17"/>
  <c r="B155" i="17"/>
  <c r="I154" i="17"/>
  <c r="H154" i="17"/>
  <c r="G154" i="17"/>
  <c r="F154" i="17"/>
  <c r="E154" i="17"/>
  <c r="C154" i="17"/>
  <c r="B154" i="17"/>
  <c r="I153" i="17"/>
  <c r="H153" i="17"/>
  <c r="G153" i="17"/>
  <c r="F153" i="17"/>
  <c r="E153" i="17"/>
  <c r="C153" i="17"/>
  <c r="B153" i="17"/>
  <c r="I152" i="17"/>
  <c r="H152" i="17"/>
  <c r="G152" i="17"/>
  <c r="F152" i="17"/>
  <c r="E152" i="17"/>
  <c r="C152" i="17"/>
  <c r="B152" i="17"/>
  <c r="I151" i="17"/>
  <c r="H151" i="17"/>
  <c r="G151" i="17"/>
  <c r="F151" i="17"/>
  <c r="E151" i="17"/>
  <c r="C151" i="17"/>
  <c r="B151" i="17"/>
  <c r="I150" i="17"/>
  <c r="H150" i="17"/>
  <c r="G150" i="17"/>
  <c r="F150" i="17"/>
  <c r="E150" i="17"/>
  <c r="C150" i="17"/>
  <c r="B150" i="17"/>
  <c r="I149" i="17"/>
  <c r="H149" i="17"/>
  <c r="G149" i="17"/>
  <c r="F149" i="17"/>
  <c r="E149" i="17"/>
  <c r="C149" i="17"/>
  <c r="B149" i="17"/>
  <c r="I148" i="17"/>
  <c r="H148" i="17"/>
  <c r="G148" i="17"/>
  <c r="F148" i="17"/>
  <c r="E148" i="17"/>
  <c r="C148" i="17"/>
  <c r="B148" i="17"/>
  <c r="I147" i="17"/>
  <c r="H147" i="17"/>
  <c r="G147" i="17"/>
  <c r="F147" i="17"/>
  <c r="E147" i="17"/>
  <c r="C147" i="17"/>
  <c r="B147" i="17"/>
  <c r="I146" i="17"/>
  <c r="H146" i="17"/>
  <c r="G146" i="17"/>
  <c r="F146" i="17"/>
  <c r="E146" i="17"/>
  <c r="C146" i="17"/>
  <c r="B146" i="17"/>
  <c r="I145" i="17"/>
  <c r="H145" i="17"/>
  <c r="G145" i="17"/>
  <c r="F145" i="17"/>
  <c r="E145" i="17"/>
  <c r="C145" i="17"/>
  <c r="B145" i="17"/>
  <c r="I144" i="17"/>
  <c r="H144" i="17"/>
  <c r="G144" i="17"/>
  <c r="F144" i="17"/>
  <c r="E144" i="17"/>
  <c r="C144" i="17"/>
  <c r="B144" i="17"/>
  <c r="I143" i="17"/>
  <c r="H143" i="17"/>
  <c r="G143" i="17"/>
  <c r="F143" i="17"/>
  <c r="E143" i="17"/>
  <c r="C143" i="17"/>
  <c r="B143" i="17"/>
  <c r="I142" i="17"/>
  <c r="H142" i="17"/>
  <c r="G142" i="17"/>
  <c r="F142" i="17"/>
  <c r="E142" i="17"/>
  <c r="C142" i="17"/>
  <c r="B142" i="17"/>
  <c r="I141" i="17"/>
  <c r="H141" i="17"/>
  <c r="G141" i="17"/>
  <c r="F141" i="17"/>
  <c r="E141" i="17"/>
  <c r="C141" i="17"/>
  <c r="B141" i="17"/>
  <c r="I140" i="17"/>
  <c r="H140" i="17"/>
  <c r="G140" i="17"/>
  <c r="F140" i="17"/>
  <c r="E140" i="17"/>
  <c r="C140" i="17"/>
  <c r="B140" i="17"/>
  <c r="I139" i="17"/>
  <c r="H139" i="17"/>
  <c r="G139" i="17"/>
  <c r="F139" i="17"/>
  <c r="E139" i="17"/>
  <c r="C139" i="17"/>
  <c r="B139" i="17"/>
  <c r="I138" i="17"/>
  <c r="H138" i="17"/>
  <c r="G138" i="17"/>
  <c r="F138" i="17"/>
  <c r="E138" i="17"/>
  <c r="C138" i="17"/>
  <c r="B138" i="17"/>
  <c r="I137" i="17"/>
  <c r="H137" i="17"/>
  <c r="G137" i="17"/>
  <c r="F137" i="17"/>
  <c r="E137" i="17"/>
  <c r="C137" i="17"/>
  <c r="B137" i="17"/>
  <c r="I136" i="17"/>
  <c r="H136" i="17"/>
  <c r="G136" i="17"/>
  <c r="F136" i="17"/>
  <c r="E136" i="17"/>
  <c r="C136" i="17"/>
  <c r="B136" i="17"/>
  <c r="I135" i="17"/>
  <c r="H135" i="17"/>
  <c r="G135" i="17"/>
  <c r="F135" i="17"/>
  <c r="E135" i="17"/>
  <c r="C135" i="17"/>
  <c r="B135" i="17"/>
  <c r="I134" i="17"/>
  <c r="H134" i="17"/>
  <c r="G134" i="17"/>
  <c r="F134" i="17"/>
  <c r="E134" i="17"/>
  <c r="C134" i="17"/>
  <c r="B134" i="17"/>
  <c r="I133" i="17"/>
  <c r="H133" i="17"/>
  <c r="G133" i="17"/>
  <c r="F133" i="17"/>
  <c r="E133" i="17"/>
  <c r="C133" i="17"/>
  <c r="B133" i="17"/>
  <c r="I132" i="17"/>
  <c r="H132" i="17"/>
  <c r="G132" i="17"/>
  <c r="F132" i="17"/>
  <c r="E132" i="17"/>
  <c r="C132" i="17"/>
  <c r="B132" i="17"/>
  <c r="I131" i="17"/>
  <c r="H131" i="17"/>
  <c r="G131" i="17"/>
  <c r="F131" i="17"/>
  <c r="E131" i="17"/>
  <c r="C131" i="17"/>
  <c r="B131" i="17"/>
  <c r="I130" i="17"/>
  <c r="H130" i="17"/>
  <c r="G130" i="17"/>
  <c r="F130" i="17"/>
  <c r="E130" i="17"/>
  <c r="C130" i="17"/>
  <c r="B130" i="17"/>
  <c r="I129" i="17"/>
  <c r="H129" i="17"/>
  <c r="G129" i="17"/>
  <c r="F129" i="17"/>
  <c r="E129" i="17"/>
  <c r="C129" i="17"/>
  <c r="B129" i="17"/>
  <c r="I128" i="17"/>
  <c r="H128" i="17"/>
  <c r="G128" i="17"/>
  <c r="F128" i="17"/>
  <c r="E128" i="17"/>
  <c r="C128" i="17"/>
  <c r="B128" i="17"/>
  <c r="I127" i="17"/>
  <c r="H127" i="17"/>
  <c r="G127" i="17"/>
  <c r="F127" i="17"/>
  <c r="E127" i="17"/>
  <c r="C127" i="17"/>
  <c r="B127" i="17"/>
  <c r="I126" i="17"/>
  <c r="H126" i="17"/>
  <c r="G126" i="17"/>
  <c r="F126" i="17"/>
  <c r="E126" i="17"/>
  <c r="C126" i="17"/>
  <c r="B126" i="17"/>
  <c r="I125" i="17"/>
  <c r="H125" i="17"/>
  <c r="G125" i="17"/>
  <c r="F125" i="17"/>
  <c r="E125" i="17"/>
  <c r="C125" i="17"/>
  <c r="B125" i="17"/>
  <c r="I124" i="17"/>
  <c r="H124" i="17"/>
  <c r="G124" i="17"/>
  <c r="F124" i="17"/>
  <c r="E124" i="17"/>
  <c r="C124" i="17"/>
  <c r="B124" i="17"/>
  <c r="I123" i="17"/>
  <c r="H123" i="17"/>
  <c r="G123" i="17"/>
  <c r="F123" i="17"/>
  <c r="E123" i="17"/>
  <c r="C123" i="17"/>
  <c r="B123" i="17"/>
  <c r="I122" i="17"/>
  <c r="H122" i="17"/>
  <c r="G122" i="17"/>
  <c r="F122" i="17"/>
  <c r="E122" i="17"/>
  <c r="C122" i="17"/>
  <c r="B122" i="17"/>
  <c r="I121" i="17"/>
  <c r="H121" i="17"/>
  <c r="G121" i="17"/>
  <c r="F121" i="17"/>
  <c r="E121" i="17"/>
  <c r="C121" i="17"/>
  <c r="B121" i="17"/>
  <c r="I120" i="17"/>
  <c r="H120" i="17"/>
  <c r="G120" i="17"/>
  <c r="F120" i="17"/>
  <c r="E120" i="17"/>
  <c r="C120" i="17"/>
  <c r="B120" i="17"/>
  <c r="I119" i="17"/>
  <c r="H119" i="17"/>
  <c r="G119" i="17"/>
  <c r="F119" i="17"/>
  <c r="E119" i="17"/>
  <c r="C119" i="17"/>
  <c r="B119" i="17"/>
  <c r="I118" i="17"/>
  <c r="H118" i="17"/>
  <c r="G118" i="17"/>
  <c r="F118" i="17"/>
  <c r="E118" i="17"/>
  <c r="C118" i="17"/>
  <c r="B118" i="17"/>
  <c r="I117" i="17"/>
  <c r="H117" i="17"/>
  <c r="G117" i="17"/>
  <c r="F117" i="17"/>
  <c r="E117" i="17"/>
  <c r="C117" i="17"/>
  <c r="B117" i="17"/>
  <c r="I116" i="17"/>
  <c r="H116" i="17"/>
  <c r="G116" i="17"/>
  <c r="F116" i="17"/>
  <c r="E116" i="17"/>
  <c r="C116" i="17"/>
  <c r="B116" i="17"/>
  <c r="I115" i="17"/>
  <c r="H115" i="17"/>
  <c r="G115" i="17"/>
  <c r="F115" i="17"/>
  <c r="E115" i="17"/>
  <c r="C115" i="17"/>
  <c r="B115" i="17"/>
  <c r="I114" i="17"/>
  <c r="H114" i="17"/>
  <c r="G114" i="17"/>
  <c r="F114" i="17"/>
  <c r="E114" i="17"/>
  <c r="C114" i="17"/>
  <c r="B114" i="17"/>
  <c r="I113" i="17"/>
  <c r="H113" i="17"/>
  <c r="G113" i="17"/>
  <c r="F113" i="17"/>
  <c r="E113" i="17"/>
  <c r="C113" i="17"/>
  <c r="B113" i="17"/>
  <c r="I112" i="17"/>
  <c r="H112" i="17"/>
  <c r="G112" i="17"/>
  <c r="F112" i="17"/>
  <c r="E112" i="17"/>
  <c r="C112" i="17"/>
  <c r="B112" i="17"/>
  <c r="I111" i="17"/>
  <c r="H111" i="17"/>
  <c r="G111" i="17"/>
  <c r="F111" i="17"/>
  <c r="E111" i="17"/>
  <c r="C111" i="17"/>
  <c r="B111" i="17"/>
  <c r="I110" i="17"/>
  <c r="H110" i="17"/>
  <c r="G110" i="17"/>
  <c r="F110" i="17"/>
  <c r="E110" i="17"/>
  <c r="C110" i="17"/>
  <c r="B110" i="17"/>
  <c r="I109" i="17"/>
  <c r="H109" i="17"/>
  <c r="G109" i="17"/>
  <c r="F109" i="17"/>
  <c r="E109" i="17"/>
  <c r="C109" i="17"/>
  <c r="B109" i="17"/>
  <c r="I108" i="17"/>
  <c r="H108" i="17"/>
  <c r="G108" i="17"/>
  <c r="F108" i="17"/>
  <c r="E108" i="17"/>
  <c r="C108" i="17"/>
  <c r="B108" i="17"/>
  <c r="I107" i="17"/>
  <c r="H107" i="17"/>
  <c r="G107" i="17"/>
  <c r="F107" i="17"/>
  <c r="E107" i="17"/>
  <c r="C107" i="17"/>
  <c r="B107" i="17"/>
  <c r="I106" i="17"/>
  <c r="H106" i="17"/>
  <c r="G106" i="17"/>
  <c r="F106" i="17"/>
  <c r="E106" i="17"/>
  <c r="C106" i="17"/>
  <c r="B106" i="17"/>
  <c r="I105" i="17"/>
  <c r="H105" i="17"/>
  <c r="G105" i="17"/>
  <c r="F105" i="17"/>
  <c r="E105" i="17"/>
  <c r="C105" i="17"/>
  <c r="B105" i="17"/>
  <c r="I104" i="17"/>
  <c r="H104" i="17"/>
  <c r="G104" i="17"/>
  <c r="F104" i="17"/>
  <c r="E104" i="17"/>
  <c r="C104" i="17"/>
  <c r="B104" i="17"/>
  <c r="I103" i="17"/>
  <c r="H103" i="17"/>
  <c r="G103" i="17"/>
  <c r="F103" i="17"/>
  <c r="E103" i="17"/>
  <c r="C103" i="17"/>
  <c r="B103" i="17"/>
  <c r="I102" i="17"/>
  <c r="H102" i="17"/>
  <c r="G102" i="17"/>
  <c r="F102" i="17"/>
  <c r="E102" i="17"/>
  <c r="C102" i="17"/>
  <c r="B102" i="17"/>
  <c r="I101" i="17"/>
  <c r="H101" i="17"/>
  <c r="G101" i="17"/>
  <c r="F101" i="17"/>
  <c r="E101" i="17"/>
  <c r="C101" i="17"/>
  <c r="B101" i="17"/>
  <c r="I100" i="17"/>
  <c r="H100" i="17"/>
  <c r="G100" i="17"/>
  <c r="F100" i="17"/>
  <c r="E100" i="17"/>
  <c r="C100" i="17"/>
  <c r="B100" i="17"/>
  <c r="I99" i="17"/>
  <c r="H99" i="17"/>
  <c r="G99" i="17"/>
  <c r="F99" i="17"/>
  <c r="E99" i="17"/>
  <c r="C99" i="17"/>
  <c r="B99" i="17"/>
  <c r="I98" i="17"/>
  <c r="H98" i="17"/>
  <c r="G98" i="17"/>
  <c r="F98" i="17"/>
  <c r="E98" i="17"/>
  <c r="C98" i="17"/>
  <c r="B98" i="17"/>
  <c r="I97" i="17"/>
  <c r="H97" i="17"/>
  <c r="G97" i="17"/>
  <c r="F97" i="17"/>
  <c r="E97" i="17"/>
  <c r="C97" i="17"/>
  <c r="B97" i="17"/>
  <c r="I96" i="17"/>
  <c r="H96" i="17"/>
  <c r="G96" i="17"/>
  <c r="F96" i="17"/>
  <c r="E96" i="17"/>
  <c r="C96" i="17"/>
  <c r="B96" i="17"/>
  <c r="I95" i="17"/>
  <c r="H95" i="17"/>
  <c r="G95" i="17"/>
  <c r="F95" i="17"/>
  <c r="E95" i="17"/>
  <c r="C95" i="17"/>
  <c r="B95" i="17"/>
  <c r="I94" i="17"/>
  <c r="H94" i="17"/>
  <c r="G94" i="17"/>
  <c r="F94" i="17"/>
  <c r="E94" i="17"/>
  <c r="C94" i="17"/>
  <c r="B94" i="17"/>
  <c r="I93" i="17"/>
  <c r="H93" i="17"/>
  <c r="G93" i="17"/>
  <c r="F93" i="17"/>
  <c r="E93" i="17"/>
  <c r="C93" i="17"/>
  <c r="B93" i="17"/>
  <c r="I92" i="17"/>
  <c r="H92" i="17"/>
  <c r="G92" i="17"/>
  <c r="F92" i="17"/>
  <c r="E92" i="17"/>
  <c r="C92" i="17"/>
  <c r="B92" i="17"/>
  <c r="I91" i="17"/>
  <c r="H91" i="17"/>
  <c r="G91" i="17"/>
  <c r="F91" i="17"/>
  <c r="E91" i="17"/>
  <c r="C91" i="17"/>
  <c r="B91" i="17"/>
  <c r="I90" i="17"/>
  <c r="H90" i="17"/>
  <c r="G90" i="17"/>
  <c r="F90" i="17"/>
  <c r="E90" i="17"/>
  <c r="C90" i="17"/>
  <c r="B90" i="17"/>
  <c r="I89" i="17"/>
  <c r="H89" i="17"/>
  <c r="G89" i="17"/>
  <c r="F89" i="17"/>
  <c r="E89" i="17"/>
  <c r="C89" i="17"/>
  <c r="B89" i="17"/>
  <c r="I88" i="17"/>
  <c r="H88" i="17"/>
  <c r="G88" i="17"/>
  <c r="F88" i="17"/>
  <c r="E88" i="17"/>
  <c r="C88" i="17"/>
  <c r="B88" i="17"/>
  <c r="I87" i="17"/>
  <c r="H87" i="17"/>
  <c r="G87" i="17"/>
  <c r="F87" i="17"/>
  <c r="E87" i="17"/>
  <c r="C87" i="17"/>
  <c r="B87" i="17"/>
  <c r="I86" i="17"/>
  <c r="H86" i="17"/>
  <c r="G86" i="17"/>
  <c r="F86" i="17"/>
  <c r="E86" i="17"/>
  <c r="C86" i="17"/>
  <c r="B86" i="17"/>
  <c r="I85" i="17"/>
  <c r="H85" i="17"/>
  <c r="G85" i="17"/>
  <c r="F85" i="17"/>
  <c r="E85" i="17"/>
  <c r="C85" i="17"/>
  <c r="B85" i="17"/>
  <c r="I84" i="17"/>
  <c r="H84" i="17"/>
  <c r="G84" i="17"/>
  <c r="F84" i="17"/>
  <c r="E84" i="17"/>
  <c r="C84" i="17"/>
  <c r="B84" i="17"/>
  <c r="I83" i="17"/>
  <c r="H83" i="17"/>
  <c r="G83" i="17"/>
  <c r="F83" i="17"/>
  <c r="E83" i="17"/>
  <c r="C83" i="17"/>
  <c r="B83" i="17"/>
  <c r="I82" i="17"/>
  <c r="H82" i="17"/>
  <c r="G82" i="17"/>
  <c r="F82" i="17"/>
  <c r="E82" i="17"/>
  <c r="C82" i="17"/>
  <c r="B82" i="17"/>
  <c r="I81" i="17"/>
  <c r="H81" i="17"/>
  <c r="G81" i="17"/>
  <c r="F81" i="17"/>
  <c r="E81" i="17"/>
  <c r="C81" i="17"/>
  <c r="B81" i="17"/>
  <c r="I80" i="17"/>
  <c r="H80" i="17"/>
  <c r="G80" i="17"/>
  <c r="F80" i="17"/>
  <c r="E80" i="17"/>
  <c r="C80" i="17"/>
  <c r="B80" i="17"/>
  <c r="I79" i="17"/>
  <c r="H79" i="17"/>
  <c r="G79" i="17"/>
  <c r="F79" i="17"/>
  <c r="E79" i="17"/>
  <c r="C79" i="17"/>
  <c r="B79" i="17"/>
  <c r="I78" i="17"/>
  <c r="H78" i="17"/>
  <c r="G78" i="17"/>
  <c r="F78" i="17"/>
  <c r="E78" i="17"/>
  <c r="C78" i="17"/>
  <c r="B78" i="17"/>
  <c r="I77" i="17"/>
  <c r="H77" i="17"/>
  <c r="G77" i="17"/>
  <c r="F77" i="17"/>
  <c r="E77" i="17"/>
  <c r="C77" i="17"/>
  <c r="B77" i="17"/>
  <c r="I76" i="17"/>
  <c r="H76" i="17"/>
  <c r="G76" i="17"/>
  <c r="F76" i="17"/>
  <c r="E76" i="17"/>
  <c r="C76" i="17"/>
  <c r="B76" i="17"/>
  <c r="I75" i="17"/>
  <c r="H75" i="17"/>
  <c r="G75" i="17"/>
  <c r="F75" i="17"/>
  <c r="E75" i="17"/>
  <c r="C75" i="17"/>
  <c r="B75" i="17"/>
  <c r="I74" i="17"/>
  <c r="H74" i="17"/>
  <c r="G74" i="17"/>
  <c r="F74" i="17"/>
  <c r="E74" i="17"/>
  <c r="C74" i="17"/>
  <c r="B74" i="17"/>
  <c r="I73" i="17"/>
  <c r="H73" i="17"/>
  <c r="G73" i="17"/>
  <c r="F73" i="17"/>
  <c r="E73" i="17"/>
  <c r="C73" i="17"/>
  <c r="B73" i="17"/>
  <c r="I72" i="17"/>
  <c r="H72" i="17"/>
  <c r="G72" i="17"/>
  <c r="F72" i="17"/>
  <c r="E72" i="17"/>
  <c r="C72" i="17"/>
  <c r="B72" i="17"/>
  <c r="I71" i="17"/>
  <c r="H71" i="17"/>
  <c r="G71" i="17"/>
  <c r="F71" i="17"/>
  <c r="E71" i="17"/>
  <c r="C71" i="17"/>
  <c r="B71" i="17"/>
  <c r="I70" i="17"/>
  <c r="H70" i="17"/>
  <c r="G70" i="17"/>
  <c r="F70" i="17"/>
  <c r="E70" i="17"/>
  <c r="C70" i="17"/>
  <c r="B70" i="17"/>
  <c r="I69" i="17"/>
  <c r="H69" i="17"/>
  <c r="G69" i="17"/>
  <c r="F69" i="17"/>
  <c r="E69" i="17"/>
  <c r="C69" i="17"/>
  <c r="B69" i="17"/>
  <c r="I68" i="17"/>
  <c r="H68" i="17"/>
  <c r="G68" i="17"/>
  <c r="F68" i="17"/>
  <c r="E68" i="17"/>
  <c r="C68" i="17"/>
  <c r="B68" i="17"/>
  <c r="I67" i="17"/>
  <c r="H67" i="17"/>
  <c r="G67" i="17"/>
  <c r="F67" i="17"/>
  <c r="E67" i="17"/>
  <c r="C67" i="17"/>
  <c r="B67" i="17"/>
  <c r="I66" i="17"/>
  <c r="H66" i="17"/>
  <c r="G66" i="17"/>
  <c r="F66" i="17"/>
  <c r="E66" i="17"/>
  <c r="C66" i="17"/>
  <c r="B66" i="17"/>
  <c r="I65" i="17"/>
  <c r="H65" i="17"/>
  <c r="G65" i="17"/>
  <c r="F65" i="17"/>
  <c r="E65" i="17"/>
  <c r="C65" i="17"/>
  <c r="B65" i="17"/>
  <c r="I64" i="17"/>
  <c r="H64" i="17"/>
  <c r="G64" i="17"/>
  <c r="F64" i="17"/>
  <c r="E64" i="17"/>
  <c r="C64" i="17"/>
  <c r="B64" i="17"/>
  <c r="I63" i="17"/>
  <c r="H63" i="17"/>
  <c r="G63" i="17"/>
  <c r="F63" i="17"/>
  <c r="E63" i="17"/>
  <c r="C63" i="17"/>
  <c r="B63" i="17"/>
  <c r="I62" i="17"/>
  <c r="H62" i="17"/>
  <c r="G62" i="17"/>
  <c r="F62" i="17"/>
  <c r="E62" i="17"/>
  <c r="C62" i="17"/>
  <c r="B62" i="17"/>
  <c r="I61" i="17"/>
  <c r="H61" i="17"/>
  <c r="G61" i="17"/>
  <c r="F61" i="17"/>
  <c r="E61" i="17"/>
  <c r="C61" i="17"/>
  <c r="B61" i="17"/>
  <c r="I60" i="17"/>
  <c r="H60" i="17"/>
  <c r="G60" i="17"/>
  <c r="F60" i="17"/>
  <c r="E60" i="17"/>
  <c r="C60" i="17"/>
  <c r="B60" i="17"/>
  <c r="I59" i="17"/>
  <c r="H59" i="17"/>
  <c r="G59" i="17"/>
  <c r="F59" i="17"/>
  <c r="E59" i="17"/>
  <c r="C59" i="17"/>
  <c r="B59" i="17"/>
  <c r="I58" i="17"/>
  <c r="H58" i="17"/>
  <c r="G58" i="17"/>
  <c r="F58" i="17"/>
  <c r="E58" i="17"/>
  <c r="C58" i="17"/>
  <c r="B58" i="17"/>
  <c r="I57" i="17"/>
  <c r="H57" i="17"/>
  <c r="G57" i="17"/>
  <c r="F57" i="17"/>
  <c r="E57" i="17"/>
  <c r="C57" i="17"/>
  <c r="B57" i="17"/>
  <c r="I56" i="17"/>
  <c r="H56" i="17"/>
  <c r="G56" i="17"/>
  <c r="F56" i="17"/>
  <c r="E56" i="17"/>
  <c r="C56" i="17"/>
  <c r="B56" i="17"/>
  <c r="I55" i="17"/>
  <c r="H55" i="17"/>
  <c r="G55" i="17"/>
  <c r="F55" i="17"/>
  <c r="E55" i="17"/>
  <c r="C55" i="17"/>
  <c r="B55" i="17"/>
  <c r="I54" i="17"/>
  <c r="H54" i="17"/>
  <c r="G54" i="17"/>
  <c r="F54" i="17"/>
  <c r="E54" i="17"/>
  <c r="C54" i="17"/>
  <c r="B54" i="17"/>
  <c r="I53" i="17"/>
  <c r="H53" i="17"/>
  <c r="G53" i="17"/>
  <c r="F53" i="17"/>
  <c r="E53" i="17"/>
  <c r="C53" i="17"/>
  <c r="B53" i="17"/>
  <c r="I52" i="17"/>
  <c r="H52" i="17"/>
  <c r="G52" i="17"/>
  <c r="F52" i="17"/>
  <c r="E52" i="17"/>
  <c r="C52" i="17"/>
  <c r="B52" i="17"/>
  <c r="I51" i="17"/>
  <c r="H51" i="17"/>
  <c r="G51" i="17"/>
  <c r="F51" i="17"/>
  <c r="E51" i="17"/>
  <c r="C51" i="17"/>
  <c r="B51" i="17"/>
  <c r="I50" i="17"/>
  <c r="H50" i="17"/>
  <c r="G50" i="17"/>
  <c r="F50" i="17"/>
  <c r="E50" i="17"/>
  <c r="C50" i="17"/>
  <c r="B50" i="17"/>
  <c r="I49" i="17"/>
  <c r="H49" i="17"/>
  <c r="G49" i="17"/>
  <c r="F49" i="17"/>
  <c r="E49" i="17"/>
  <c r="C49" i="17"/>
  <c r="B49" i="17"/>
  <c r="I48" i="17"/>
  <c r="H48" i="17"/>
  <c r="G48" i="17"/>
  <c r="F48" i="17"/>
  <c r="E48" i="17"/>
  <c r="C48" i="17"/>
  <c r="B48" i="17"/>
  <c r="I47" i="17"/>
  <c r="H47" i="17"/>
  <c r="G47" i="17"/>
  <c r="F47" i="17"/>
  <c r="E47" i="17"/>
  <c r="C47" i="17"/>
  <c r="B47" i="17"/>
  <c r="I46" i="17"/>
  <c r="H46" i="17"/>
  <c r="G46" i="17"/>
  <c r="F46" i="17"/>
  <c r="E46" i="17"/>
  <c r="C46" i="17"/>
  <c r="B46" i="17"/>
  <c r="I45" i="17"/>
  <c r="H45" i="17"/>
  <c r="G45" i="17"/>
  <c r="F45" i="17"/>
  <c r="E45" i="17"/>
  <c r="C45" i="17"/>
  <c r="B45" i="17"/>
  <c r="I44" i="17"/>
  <c r="H44" i="17"/>
  <c r="G44" i="17"/>
  <c r="F44" i="17"/>
  <c r="E44" i="17"/>
  <c r="C44" i="17"/>
  <c r="B44" i="17"/>
  <c r="I43" i="17"/>
  <c r="H43" i="17"/>
  <c r="G43" i="17"/>
  <c r="F43" i="17"/>
  <c r="E43" i="17"/>
  <c r="C43" i="17"/>
  <c r="B43" i="17"/>
  <c r="I42" i="17"/>
  <c r="H42" i="17"/>
  <c r="G42" i="17"/>
  <c r="F42" i="17"/>
  <c r="E42" i="17"/>
  <c r="C42" i="17"/>
  <c r="B42" i="17"/>
  <c r="I41" i="17"/>
  <c r="H41" i="17"/>
  <c r="G41" i="17"/>
  <c r="F41" i="17"/>
  <c r="E41" i="17"/>
  <c r="C41" i="17"/>
  <c r="B41" i="17"/>
  <c r="I40" i="17"/>
  <c r="H40" i="17"/>
  <c r="G40" i="17"/>
  <c r="F40" i="17"/>
  <c r="E40" i="17"/>
  <c r="C40" i="17"/>
  <c r="B40" i="17"/>
  <c r="I39" i="17"/>
  <c r="H39" i="17"/>
  <c r="G39" i="17"/>
  <c r="F39" i="17"/>
  <c r="E39" i="17"/>
  <c r="C39" i="17"/>
  <c r="B39" i="17"/>
  <c r="I38" i="17"/>
  <c r="H38" i="17"/>
  <c r="G38" i="17"/>
  <c r="F38" i="17"/>
  <c r="E38" i="17"/>
  <c r="C38" i="17"/>
  <c r="B38" i="17"/>
  <c r="I37" i="17"/>
  <c r="H37" i="17"/>
  <c r="G37" i="17"/>
  <c r="F37" i="17"/>
  <c r="E37" i="17"/>
  <c r="C37" i="17"/>
  <c r="B37" i="17"/>
  <c r="I36" i="17"/>
  <c r="H36" i="17"/>
  <c r="G36" i="17"/>
  <c r="F36" i="17"/>
  <c r="E36" i="17"/>
  <c r="C36" i="17"/>
  <c r="B36" i="17"/>
  <c r="I35" i="17"/>
  <c r="H35" i="17"/>
  <c r="G35" i="17"/>
  <c r="F35" i="17"/>
  <c r="E35" i="17"/>
  <c r="C35" i="17"/>
  <c r="B35" i="17"/>
  <c r="I34" i="17"/>
  <c r="H34" i="17"/>
  <c r="G34" i="17"/>
  <c r="F34" i="17"/>
  <c r="E34" i="17"/>
  <c r="C34" i="17"/>
  <c r="B34" i="17"/>
  <c r="I33" i="17"/>
  <c r="H33" i="17"/>
  <c r="G33" i="17"/>
  <c r="F33" i="17"/>
  <c r="E33" i="17"/>
  <c r="C33" i="17"/>
  <c r="B33" i="17"/>
  <c r="I32" i="17"/>
  <c r="H32" i="17"/>
  <c r="G32" i="17"/>
  <c r="F32" i="17"/>
  <c r="E32" i="17"/>
  <c r="C32" i="17"/>
  <c r="B32" i="17"/>
  <c r="I31" i="17"/>
  <c r="H31" i="17"/>
  <c r="G31" i="17"/>
  <c r="F31" i="17"/>
  <c r="E31" i="17"/>
  <c r="C31" i="17"/>
  <c r="B31" i="17"/>
  <c r="I30" i="17"/>
  <c r="H30" i="17"/>
  <c r="G30" i="17"/>
  <c r="F30" i="17"/>
  <c r="E30" i="17"/>
  <c r="C30" i="17"/>
  <c r="B30" i="17"/>
  <c r="I29" i="17"/>
  <c r="H29" i="17"/>
  <c r="G29" i="17"/>
  <c r="F29" i="17"/>
  <c r="E29" i="17"/>
  <c r="C29" i="17"/>
  <c r="B29" i="17"/>
  <c r="I28" i="17"/>
  <c r="H28" i="17"/>
  <c r="G28" i="17"/>
  <c r="F28" i="17"/>
  <c r="E28" i="17"/>
  <c r="C28" i="17"/>
  <c r="B28" i="17"/>
  <c r="I27" i="17"/>
  <c r="H27" i="17"/>
  <c r="G27" i="17"/>
  <c r="F27" i="17"/>
  <c r="E27" i="17"/>
  <c r="C27" i="17"/>
  <c r="B27" i="17"/>
  <c r="I26" i="17"/>
  <c r="H26" i="17"/>
  <c r="G26" i="17"/>
  <c r="F26" i="17"/>
  <c r="E26" i="17"/>
  <c r="C26" i="17"/>
  <c r="B26" i="17"/>
  <c r="I25" i="17"/>
  <c r="H25" i="17"/>
  <c r="G25" i="17"/>
  <c r="F25" i="17"/>
  <c r="E25" i="17"/>
  <c r="C25" i="17"/>
  <c r="B25" i="17"/>
  <c r="I24" i="17"/>
  <c r="H24" i="17"/>
  <c r="G24" i="17"/>
  <c r="F24" i="17"/>
  <c r="E24" i="17"/>
  <c r="C24" i="17"/>
  <c r="B24" i="17"/>
  <c r="I23" i="17"/>
  <c r="H23" i="17"/>
  <c r="G23" i="17"/>
  <c r="F23" i="17"/>
  <c r="E23" i="17"/>
  <c r="C23" i="17"/>
  <c r="B23" i="17"/>
  <c r="I22" i="17"/>
  <c r="H22" i="17"/>
  <c r="G22" i="17"/>
  <c r="F22" i="17"/>
  <c r="E22" i="17"/>
  <c r="C22" i="17"/>
  <c r="B22" i="17"/>
  <c r="I21" i="17"/>
  <c r="H21" i="17"/>
  <c r="G21" i="17"/>
  <c r="F21" i="17"/>
  <c r="E21" i="17"/>
  <c r="C21" i="17"/>
  <c r="B21" i="17"/>
  <c r="I20" i="17"/>
  <c r="H20" i="17"/>
  <c r="G20" i="17"/>
  <c r="F20" i="17"/>
  <c r="E20" i="17"/>
  <c r="C20" i="17"/>
  <c r="B20" i="17"/>
  <c r="I19" i="17"/>
  <c r="H19" i="17"/>
  <c r="G19" i="17"/>
  <c r="F19" i="17"/>
  <c r="E19" i="17"/>
  <c r="C19" i="17"/>
  <c r="B19" i="17"/>
  <c r="I18" i="17"/>
  <c r="H18" i="17"/>
  <c r="G18" i="17"/>
  <c r="F18" i="17"/>
  <c r="E18" i="17"/>
  <c r="C18" i="17"/>
  <c r="B18" i="17"/>
  <c r="I17" i="17"/>
  <c r="H17" i="17"/>
  <c r="G17" i="17"/>
  <c r="F17" i="17"/>
  <c r="E17" i="17"/>
  <c r="C17" i="17"/>
  <c r="B17" i="17"/>
  <c r="I16" i="17"/>
  <c r="H16" i="17"/>
  <c r="G16" i="17"/>
  <c r="F16" i="17"/>
  <c r="E16" i="17"/>
  <c r="C16" i="17"/>
  <c r="B16" i="17"/>
  <c r="I15" i="17"/>
  <c r="H15" i="17"/>
  <c r="G15" i="17"/>
  <c r="F15" i="17"/>
  <c r="E15" i="17"/>
  <c r="C15" i="17"/>
  <c r="B15" i="17"/>
  <c r="I14" i="17"/>
  <c r="H14" i="17"/>
  <c r="G14" i="17"/>
  <c r="F14" i="17"/>
  <c r="E14" i="17"/>
  <c r="C14" i="17"/>
  <c r="B14" i="17"/>
  <c r="I13" i="17"/>
  <c r="H13" i="17"/>
  <c r="G13" i="17"/>
  <c r="F13" i="17"/>
  <c r="E13" i="17"/>
  <c r="C13" i="17"/>
  <c r="B13" i="17"/>
  <c r="I12" i="17"/>
  <c r="H12" i="17"/>
  <c r="G12" i="17"/>
  <c r="F12" i="17"/>
  <c r="E12" i="17"/>
  <c r="C12" i="17"/>
  <c r="B12" i="17"/>
  <c r="I11" i="17"/>
  <c r="H11" i="17"/>
  <c r="G11" i="17"/>
  <c r="F11" i="17"/>
  <c r="E11" i="17"/>
  <c r="C11" i="17"/>
  <c r="B11" i="17"/>
  <c r="I10" i="17"/>
  <c r="H10" i="17"/>
  <c r="G10" i="17"/>
  <c r="F10" i="17"/>
  <c r="E10" i="17"/>
  <c r="C10" i="17"/>
  <c r="B10" i="17"/>
  <c r="I9" i="17"/>
  <c r="H9" i="17"/>
  <c r="G9" i="17"/>
  <c r="F9" i="17"/>
  <c r="E9" i="17"/>
  <c r="C9" i="17"/>
  <c r="B9" i="17"/>
  <c r="I8" i="17"/>
  <c r="H8" i="17"/>
  <c r="G8" i="17"/>
  <c r="F8" i="17"/>
  <c r="E8" i="17"/>
  <c r="C8" i="17"/>
  <c r="F47" i="29"/>
  <c r="E47" i="29"/>
  <c r="D47" i="29"/>
  <c r="F46" i="29"/>
  <c r="E46" i="29"/>
  <c r="D46" i="29"/>
  <c r="F45" i="29"/>
  <c r="E45" i="29"/>
  <c r="D45" i="29"/>
  <c r="F44" i="29"/>
  <c r="E44" i="29"/>
  <c r="D44" i="29"/>
  <c r="F43" i="29"/>
  <c r="E43" i="29"/>
  <c r="D43" i="29"/>
  <c r="F42" i="29"/>
  <c r="E42" i="29"/>
  <c r="D42" i="29"/>
  <c r="F41" i="29"/>
  <c r="E41" i="29"/>
  <c r="D41" i="29"/>
  <c r="F40" i="29"/>
  <c r="E40" i="29"/>
  <c r="D40" i="29"/>
  <c r="F39" i="29"/>
  <c r="E39" i="29"/>
  <c r="D39" i="29"/>
  <c r="F38" i="29"/>
  <c r="E38" i="29"/>
  <c r="D38" i="29"/>
  <c r="F37" i="29"/>
  <c r="E37" i="29"/>
  <c r="D37" i="29"/>
  <c r="F36" i="29"/>
  <c r="E36" i="29"/>
  <c r="D36" i="29"/>
  <c r="F35" i="29"/>
  <c r="D35" i="29"/>
  <c r="F34" i="29"/>
  <c r="D34" i="29"/>
  <c r="F33" i="29"/>
  <c r="D33" i="29"/>
  <c r="F32" i="29"/>
  <c r="D32" i="29"/>
  <c r="F31" i="29"/>
  <c r="D31" i="29"/>
  <c r="F30" i="29"/>
  <c r="D30" i="29"/>
  <c r="F29" i="29"/>
  <c r="D29" i="29"/>
  <c r="F28" i="29"/>
  <c r="D28" i="29"/>
  <c r="O23" i="29"/>
  <c r="M23" i="29"/>
  <c r="L23" i="29"/>
  <c r="K23" i="29"/>
  <c r="J23" i="29"/>
  <c r="I23" i="29"/>
  <c r="G23" i="29"/>
  <c r="F23" i="29"/>
  <c r="E23" i="29"/>
  <c r="D23" i="29"/>
  <c r="B23" i="29"/>
  <c r="AF20" i="29"/>
  <c r="AD20" i="29"/>
  <c r="AF18" i="29"/>
  <c r="AD18" i="29"/>
  <c r="Z18" i="29"/>
  <c r="X18" i="29"/>
  <c r="W18" i="29"/>
  <c r="M18" i="29"/>
  <c r="K18" i="29"/>
  <c r="BG16" i="29"/>
  <c r="BF16" i="29"/>
  <c r="BE16" i="29"/>
  <c r="BD16" i="29"/>
  <c r="BC16" i="29"/>
  <c r="BB16" i="29"/>
  <c r="BA16" i="29"/>
  <c r="AF16" i="29"/>
  <c r="AD16" i="29"/>
  <c r="AC16" i="29"/>
  <c r="AB16" i="29"/>
  <c r="AA16" i="29"/>
  <c r="Z16" i="29"/>
  <c r="X16" i="29"/>
  <c r="W16" i="29"/>
  <c r="V16" i="29"/>
  <c r="U16" i="29"/>
  <c r="T16" i="29"/>
  <c r="S16" i="29"/>
  <c r="R16" i="29"/>
  <c r="Q16" i="29"/>
  <c r="M16" i="29"/>
  <c r="BC44" i="28"/>
  <c r="BK41" i="28"/>
  <c r="BC40" i="28"/>
  <c r="AO40" i="28"/>
  <c r="AI40" i="28"/>
  <c r="X40" i="28"/>
  <c r="O40" i="28"/>
  <c r="K40" i="28"/>
  <c r="BC38" i="28"/>
  <c r="BA38" i="28"/>
  <c r="AZ38" i="28"/>
  <c r="AY38" i="28"/>
  <c r="AT38" i="28"/>
  <c r="AS38" i="28"/>
  <c r="AR38" i="28"/>
  <c r="AO38" i="28"/>
  <c r="AN38" i="28"/>
  <c r="AM38" i="28"/>
  <c r="AI38" i="28"/>
  <c r="AG38" i="28"/>
  <c r="AF38" i="28"/>
  <c r="AD38" i="28"/>
  <c r="AB38" i="28"/>
  <c r="AA38" i="28"/>
  <c r="Z38" i="28"/>
  <c r="T38" i="28"/>
  <c r="O38" i="28"/>
  <c r="M38" i="28"/>
  <c r="F38" i="28"/>
  <c r="V34" i="28"/>
  <c r="Q34" i="28"/>
  <c r="O34" i="28"/>
  <c r="K34" i="28"/>
  <c r="BC32" i="28"/>
  <c r="BA32" i="28"/>
  <c r="AX32" i="28"/>
  <c r="AW32" i="28"/>
  <c r="AV32" i="28"/>
  <c r="AO32" i="28"/>
  <c r="AN32" i="28"/>
  <c r="AM32" i="28"/>
  <c r="X32" i="28"/>
  <c r="V32" i="28"/>
  <c r="T32" i="28"/>
  <c r="Q32" i="28"/>
  <c r="O32" i="28"/>
  <c r="M32" i="28"/>
  <c r="F32" i="28"/>
  <c r="BC31" i="28"/>
  <c r="BA31" i="28"/>
  <c r="AO31" i="28"/>
  <c r="AN31" i="28"/>
  <c r="AM31" i="28"/>
  <c r="X31" i="28"/>
  <c r="V31" i="28"/>
  <c r="T31" i="28"/>
  <c r="O31" i="28"/>
  <c r="M31" i="28"/>
  <c r="F31" i="28"/>
  <c r="BC30" i="28"/>
  <c r="BA30" i="28"/>
  <c r="AZ30" i="28"/>
  <c r="AY30" i="28"/>
  <c r="AT30" i="28"/>
  <c r="AS30" i="28"/>
  <c r="AO30" i="28"/>
  <c r="AN30" i="28"/>
  <c r="AM30" i="28"/>
  <c r="AI30" i="28"/>
  <c r="AG30" i="28"/>
  <c r="AF30" i="28"/>
  <c r="AD30" i="28"/>
  <c r="AB30" i="28"/>
  <c r="AA30" i="28"/>
  <c r="Z30" i="28"/>
  <c r="T30" i="28"/>
  <c r="O30" i="28"/>
  <c r="M30" i="28"/>
  <c r="F30" i="28"/>
  <c r="BK24" i="28"/>
  <c r="AO24" i="28"/>
  <c r="AI24" i="28"/>
  <c r="AG24" i="28"/>
  <c r="O24" i="28"/>
  <c r="M24" i="28"/>
  <c r="K24" i="28"/>
  <c r="BK22" i="28"/>
  <c r="BJ22" i="28"/>
  <c r="BI22" i="28"/>
  <c r="BH22" i="28"/>
  <c r="BG22" i="28"/>
  <c r="BF22" i="28"/>
  <c r="BE22" i="28"/>
  <c r="BC22" i="28"/>
  <c r="AO22" i="28"/>
  <c r="AN22" i="28"/>
  <c r="AM22" i="28"/>
  <c r="AI22" i="28"/>
  <c r="AG22" i="28"/>
  <c r="AF22" i="28"/>
  <c r="AD22" i="28"/>
  <c r="AB22" i="28"/>
  <c r="AA22" i="28"/>
  <c r="Z22" i="28"/>
  <c r="Q22" i="28"/>
  <c r="O22" i="28"/>
  <c r="M22" i="28"/>
  <c r="F22" i="28"/>
  <c r="T10" i="28"/>
  <c r="K388" i="1"/>
  <c r="K387" i="1"/>
  <c r="K385" i="1"/>
  <c r="K384" i="1"/>
  <c r="K382" i="1"/>
  <c r="K381" i="1"/>
  <c r="K380" i="1"/>
  <c r="K378" i="1"/>
  <c r="K377" i="1"/>
  <c r="K375" i="1"/>
  <c r="K374" i="1"/>
  <c r="K373" i="1"/>
  <c r="K367" i="1"/>
  <c r="K366" i="1"/>
  <c r="K365" i="1"/>
  <c r="K363" i="1"/>
  <c r="K362" i="1"/>
  <c r="K361" i="1"/>
  <c r="K360" i="1"/>
  <c r="K356" i="1"/>
  <c r="K355" i="1"/>
  <c r="K353" i="1"/>
  <c r="K352" i="1"/>
  <c r="K351" i="1"/>
  <c r="K350" i="1"/>
  <c r="K349" i="1"/>
  <c r="K348" i="1"/>
  <c r="K347" i="1"/>
  <c r="K343" i="1"/>
  <c r="K342" i="1"/>
  <c r="K341" i="1"/>
  <c r="K340" i="1"/>
  <c r="K339" i="1"/>
  <c r="K338" i="1"/>
  <c r="K337" i="1"/>
  <c r="K336" i="1"/>
  <c r="K335" i="1"/>
  <c r="K334" i="1"/>
  <c r="K333" i="1"/>
  <c r="K332" i="1"/>
  <c r="K331" i="1"/>
  <c r="K330" i="1"/>
  <c r="K329" i="1"/>
  <c r="K328" i="1"/>
  <c r="K327" i="1"/>
  <c r="K326" i="1"/>
  <c r="K325" i="1"/>
  <c r="K324" i="1"/>
  <c r="K323" i="1"/>
  <c r="K317" i="1"/>
  <c r="K316" i="1"/>
  <c r="K315" i="1"/>
  <c r="K314" i="1"/>
  <c r="K313" i="1"/>
  <c r="K312" i="1"/>
  <c r="K311" i="1"/>
  <c r="K309" i="1"/>
  <c r="K308" i="1"/>
  <c r="K306" i="1"/>
  <c r="K305" i="1"/>
  <c r="K304" i="1"/>
  <c r="K302" i="1"/>
  <c r="K301" i="1"/>
  <c r="K300" i="1"/>
  <c r="K299" i="1"/>
  <c r="K293" i="1"/>
  <c r="K292" i="1"/>
  <c r="K290" i="1"/>
  <c r="K289" i="1"/>
  <c r="K288" i="1"/>
  <c r="K287" i="1"/>
  <c r="K286" i="1"/>
  <c r="K284" i="1"/>
  <c r="K283" i="1"/>
  <c r="K282" i="1"/>
  <c r="K281" i="1"/>
  <c r="K280" i="1"/>
  <c r="K279" i="1"/>
  <c r="K278" i="1"/>
  <c r="K277" i="1"/>
  <c r="K276" i="1"/>
  <c r="K275" i="1"/>
  <c r="K274" i="1"/>
  <c r="K273" i="1"/>
  <c r="K272" i="1"/>
  <c r="K271" i="1"/>
  <c r="K270" i="1"/>
  <c r="K269" i="1"/>
  <c r="K268" i="1"/>
  <c r="K267" i="1"/>
  <c r="K266" i="1"/>
  <c r="K265" i="1"/>
  <c r="K264" i="1"/>
  <c r="K263" i="1"/>
  <c r="K262" i="1"/>
  <c r="K260" i="1"/>
  <c r="K259" i="1"/>
  <c r="K258" i="1"/>
  <c r="K256" i="1"/>
  <c r="K255" i="1"/>
  <c r="K253" i="1"/>
  <c r="K252" i="1"/>
  <c r="K248" i="1"/>
  <c r="K247" i="1"/>
  <c r="K246" i="1"/>
  <c r="K245" i="1"/>
  <c r="K244" i="1"/>
  <c r="K243" i="1"/>
  <c r="K241" i="1"/>
  <c r="K239" i="1"/>
  <c r="K238" i="1"/>
  <c r="K237" i="1"/>
  <c r="K236" i="1"/>
  <c r="K235" i="1"/>
  <c r="K234" i="1"/>
  <c r="K232" i="1"/>
  <c r="K231" i="1"/>
  <c r="K226" i="1"/>
  <c r="K225" i="1"/>
  <c r="K224" i="1"/>
  <c r="K223" i="1"/>
  <c r="K222" i="1"/>
  <c r="K221" i="1"/>
  <c r="K217" i="1"/>
  <c r="K216" i="1"/>
  <c r="K214" i="1"/>
  <c r="K213" i="1"/>
  <c r="K212" i="1"/>
  <c r="K211" i="1"/>
  <c r="K210" i="1"/>
  <c r="Q209" i="1"/>
  <c r="K209" i="1"/>
  <c r="K208" i="1"/>
  <c r="Q207" i="1"/>
  <c r="K207" i="1"/>
  <c r="K202" i="1"/>
  <c r="K201" i="1"/>
  <c r="K192" i="1"/>
  <c r="K190" i="1"/>
  <c r="K189" i="1"/>
  <c r="K188" i="1"/>
  <c r="K187" i="1"/>
  <c r="K186" i="1"/>
  <c r="K185" i="1"/>
  <c r="K184" i="1"/>
  <c r="K183" i="1"/>
  <c r="K182" i="1"/>
  <c r="K181" i="1"/>
  <c r="K180" i="1"/>
  <c r="K179" i="1"/>
  <c r="K178" i="1"/>
  <c r="K177" i="1"/>
  <c r="K176" i="1"/>
  <c r="K175" i="1"/>
  <c r="K174" i="1"/>
  <c r="K173" i="1"/>
  <c r="K169" i="1"/>
  <c r="K168" i="1"/>
  <c r="K166" i="1"/>
  <c r="K165" i="1"/>
  <c r="K163" i="1"/>
  <c r="K162" i="1"/>
  <c r="K160" i="1"/>
  <c r="K159" i="1"/>
  <c r="K158" i="1"/>
  <c r="K156" i="1"/>
  <c r="K155" i="1"/>
  <c r="K154" i="1"/>
  <c r="K153" i="1"/>
  <c r="K152" i="1"/>
  <c r="K148" i="1"/>
  <c r="K147" i="1"/>
  <c r="K146" i="1"/>
  <c r="K144" i="1"/>
  <c r="K143" i="1"/>
  <c r="K141" i="1"/>
  <c r="K140" i="1"/>
  <c r="K139" i="1"/>
  <c r="K137" i="1"/>
  <c r="K136" i="1"/>
  <c r="K135" i="1"/>
  <c r="K134" i="1"/>
  <c r="K133" i="1"/>
  <c r="K132" i="1"/>
  <c r="K128" i="1"/>
  <c r="K127" i="1"/>
  <c r="K125" i="1"/>
  <c r="K124" i="1"/>
  <c r="K123" i="1"/>
  <c r="K121" i="1"/>
  <c r="K120" i="1"/>
  <c r="K119" i="1"/>
  <c r="K118" i="1"/>
  <c r="K116" i="1"/>
  <c r="K115" i="1"/>
  <c r="K114" i="1"/>
  <c r="K113" i="1"/>
  <c r="K112" i="1"/>
  <c r="K111" i="1"/>
  <c r="K109" i="1"/>
  <c r="K108" i="1"/>
  <c r="K106" i="1"/>
  <c r="K105" i="1"/>
  <c r="K103" i="1"/>
  <c r="K102" i="1"/>
  <c r="K100" i="1"/>
  <c r="K98" i="1"/>
  <c r="K97" i="1"/>
  <c r="K96" i="1"/>
  <c r="K94" i="1"/>
  <c r="K93" i="1"/>
  <c r="K92" i="1"/>
  <c r="K91" i="1"/>
  <c r="K90" i="1"/>
  <c r="K89" i="1"/>
  <c r="K88" i="1"/>
  <c r="K87" i="1"/>
  <c r="K86" i="1"/>
  <c r="K85" i="1"/>
  <c r="K84" i="1"/>
  <c r="K83" i="1"/>
  <c r="K82" i="1"/>
  <c r="K81" i="1"/>
  <c r="K80" i="1"/>
  <c r="K79" i="1"/>
  <c r="K78" i="1"/>
  <c r="K77" i="1"/>
  <c r="K66" i="1"/>
  <c r="K65" i="1"/>
  <c r="K63" i="1"/>
  <c r="K62" i="1"/>
  <c r="K61" i="1"/>
  <c r="K59" i="1"/>
  <c r="K58" i="1"/>
  <c r="K57" i="1"/>
  <c r="K56" i="1"/>
  <c r="K54" i="1"/>
  <c r="K51" i="1"/>
  <c r="K50" i="1"/>
  <c r="K49" i="1"/>
  <c r="K48" i="1"/>
  <c r="K44" i="1"/>
  <c r="K43" i="1"/>
  <c r="K42" i="1"/>
  <c r="K41" i="1"/>
  <c r="K40" i="1"/>
  <c r="P39" i="1"/>
  <c r="K39" i="1"/>
  <c r="K38" i="1"/>
  <c r="K37" i="1"/>
  <c r="K36" i="1"/>
  <c r="K33" i="1"/>
  <c r="K30" i="1"/>
  <c r="K29" i="1"/>
  <c r="K28" i="1"/>
  <c r="K26" i="1"/>
  <c r="K25" i="1"/>
  <c r="K24" i="1"/>
  <c r="K23" i="1"/>
  <c r="K22" i="1"/>
  <c r="K21" i="1"/>
  <c r="K20" i="1"/>
  <c r="K19" i="1"/>
  <c r="K18" i="1"/>
  <c r="K17" i="1"/>
  <c r="K16" i="1"/>
  <c r="K15" i="1"/>
  <c r="K14" i="1"/>
  <c r="K13" i="1"/>
  <c r="K12" i="1"/>
  <c r="K11" i="1"/>
  <c r="K10" i="1"/>
  <c r="K9" i="1"/>
  <c r="K8" i="1"/>
  <c r="K7" i="1"/>
  <c r="K6" i="1"/>
  <c r="K5" i="1"/>
  <c r="K4" i="1"/>
  <c r="K3" i="1"/>
  <c r="C185" i="36"/>
  <c r="D183" i="36"/>
  <c r="C183" i="36"/>
  <c r="F181" i="36"/>
  <c r="E181" i="36"/>
  <c r="F180" i="36"/>
  <c r="E180" i="36"/>
  <c r="F179" i="36"/>
  <c r="E179" i="36"/>
  <c r="F178" i="36"/>
  <c r="E178" i="36"/>
  <c r="F177" i="36"/>
  <c r="E177" i="36"/>
  <c r="H176" i="36"/>
  <c r="F176" i="36"/>
  <c r="E176" i="36"/>
  <c r="F175" i="36"/>
  <c r="E175" i="36"/>
  <c r="F174" i="36"/>
  <c r="E174" i="36"/>
  <c r="K173" i="36"/>
  <c r="F173" i="36"/>
  <c r="E173" i="36"/>
  <c r="J172" i="36"/>
  <c r="F172" i="36"/>
  <c r="E172" i="36"/>
  <c r="F171" i="36"/>
  <c r="E171" i="36"/>
  <c r="J170" i="36"/>
  <c r="F170" i="36"/>
  <c r="E170" i="36"/>
  <c r="F169" i="36"/>
  <c r="E169" i="36"/>
  <c r="J168" i="36"/>
  <c r="F168" i="36"/>
  <c r="E168" i="36"/>
  <c r="J167" i="36"/>
  <c r="F167" i="36"/>
  <c r="E167" i="36"/>
  <c r="J166" i="36"/>
  <c r="F166" i="36"/>
  <c r="E166" i="36"/>
  <c r="F165" i="36"/>
  <c r="E165" i="36"/>
  <c r="J164" i="36"/>
  <c r="F164" i="36"/>
  <c r="E164" i="36"/>
  <c r="F163" i="36"/>
  <c r="E163" i="36"/>
  <c r="F162" i="36"/>
  <c r="E162" i="36"/>
  <c r="F161" i="36"/>
  <c r="E161" i="36"/>
  <c r="F160" i="36"/>
  <c r="E160" i="36"/>
  <c r="J159" i="36"/>
  <c r="F159" i="36"/>
  <c r="E159" i="36"/>
  <c r="J158" i="36"/>
  <c r="F158" i="36"/>
  <c r="E158" i="36"/>
  <c r="J157" i="36"/>
  <c r="F157" i="36"/>
  <c r="E157" i="36"/>
  <c r="J156" i="36"/>
  <c r="F156" i="36"/>
  <c r="E156" i="36"/>
  <c r="J155" i="36"/>
  <c r="F155" i="36"/>
  <c r="E155" i="36"/>
  <c r="J154" i="36"/>
  <c r="F154" i="36"/>
  <c r="E154" i="36"/>
  <c r="F153" i="36"/>
  <c r="E153" i="36"/>
  <c r="F152" i="36"/>
  <c r="E152" i="36"/>
  <c r="F151" i="36"/>
  <c r="E151" i="36"/>
  <c r="L150" i="36"/>
  <c r="F150" i="36"/>
  <c r="E150" i="36"/>
  <c r="H149" i="36"/>
  <c r="F149" i="36"/>
  <c r="E149" i="36"/>
  <c r="F148" i="36"/>
  <c r="E148" i="36"/>
  <c r="F147" i="36"/>
  <c r="E147" i="36"/>
  <c r="K146" i="36"/>
  <c r="F146" i="36"/>
  <c r="E146" i="36"/>
  <c r="F145" i="36"/>
  <c r="E145" i="36"/>
  <c r="F144" i="36"/>
  <c r="E144" i="36"/>
  <c r="F143" i="36"/>
  <c r="E143" i="36"/>
  <c r="K142" i="36"/>
  <c r="F142" i="36"/>
  <c r="E142" i="36"/>
  <c r="F141" i="36"/>
  <c r="E141" i="36"/>
  <c r="I140" i="36"/>
  <c r="F140" i="36"/>
  <c r="E140" i="36"/>
  <c r="F139" i="36"/>
  <c r="E139" i="36"/>
  <c r="F138" i="36"/>
  <c r="E138" i="36"/>
  <c r="F137" i="36"/>
  <c r="E137" i="36"/>
  <c r="F136" i="36"/>
  <c r="E136" i="36"/>
  <c r="H135" i="36"/>
  <c r="F135" i="36"/>
  <c r="E135" i="36"/>
  <c r="F134" i="36"/>
  <c r="E134" i="36"/>
  <c r="F133" i="36"/>
  <c r="E133" i="36"/>
  <c r="F132" i="36"/>
  <c r="E132" i="36"/>
  <c r="F131" i="36"/>
  <c r="E131" i="36"/>
  <c r="H130" i="36"/>
  <c r="F130" i="36"/>
  <c r="E130" i="36"/>
  <c r="F129" i="36"/>
  <c r="E129" i="36"/>
  <c r="F128" i="36"/>
  <c r="E128" i="36"/>
  <c r="F127" i="36"/>
  <c r="E127" i="36"/>
  <c r="F126" i="36"/>
  <c r="E126" i="36"/>
  <c r="F125" i="36"/>
  <c r="E125" i="36"/>
  <c r="K124" i="36"/>
  <c r="F124" i="36"/>
  <c r="E124" i="36"/>
  <c r="F123" i="36"/>
  <c r="E123" i="36"/>
  <c r="H122" i="36"/>
  <c r="F122" i="36"/>
  <c r="E122" i="36"/>
  <c r="F121" i="36"/>
  <c r="E121" i="36"/>
  <c r="F120" i="36"/>
  <c r="E120" i="36"/>
  <c r="K119" i="36"/>
  <c r="H119" i="36"/>
  <c r="F119" i="36"/>
  <c r="E119" i="36"/>
  <c r="K118" i="36"/>
  <c r="F118" i="36"/>
  <c r="E118" i="36"/>
  <c r="K117" i="36"/>
  <c r="F117" i="36"/>
  <c r="E117" i="36"/>
  <c r="K116" i="36"/>
  <c r="F116" i="36"/>
  <c r="E116" i="36"/>
  <c r="M115" i="36"/>
  <c r="L115" i="36"/>
  <c r="K115" i="36"/>
  <c r="F115" i="36"/>
  <c r="E115" i="36"/>
  <c r="K114" i="36"/>
  <c r="F114" i="36"/>
  <c r="E114" i="36"/>
  <c r="K113" i="36"/>
  <c r="F113" i="36"/>
  <c r="E113" i="36"/>
  <c r="M112" i="36"/>
  <c r="K112" i="36"/>
  <c r="F112" i="36"/>
  <c r="E112" i="36"/>
  <c r="K111" i="36"/>
  <c r="F111" i="36"/>
  <c r="E111" i="36"/>
  <c r="L110" i="36"/>
  <c r="H110" i="36"/>
  <c r="F110" i="36"/>
  <c r="E110" i="36"/>
  <c r="K109" i="36"/>
  <c r="F109" i="36"/>
  <c r="E109" i="36"/>
  <c r="M108" i="36"/>
  <c r="F108" i="36"/>
  <c r="E108" i="36"/>
  <c r="F107" i="36"/>
  <c r="E107" i="36"/>
  <c r="K106" i="36"/>
  <c r="F106" i="36"/>
  <c r="E106" i="36"/>
  <c r="F105" i="36"/>
  <c r="E105" i="36"/>
  <c r="K104" i="36"/>
  <c r="F104" i="36"/>
  <c r="E104" i="36"/>
  <c r="K103" i="36"/>
  <c r="F103" i="36"/>
  <c r="E103" i="36"/>
  <c r="L102" i="36"/>
  <c r="F102" i="36"/>
  <c r="E102" i="36"/>
  <c r="F101" i="36"/>
  <c r="E101" i="36"/>
  <c r="P100" i="36"/>
  <c r="L100" i="36"/>
  <c r="F100" i="36"/>
  <c r="E100" i="36"/>
  <c r="L99" i="36"/>
  <c r="F99" i="36"/>
  <c r="E99" i="36"/>
  <c r="F98" i="36"/>
  <c r="E98" i="36"/>
  <c r="K97" i="36"/>
  <c r="J97" i="36"/>
  <c r="F97" i="36"/>
  <c r="E97" i="36"/>
  <c r="L96" i="36"/>
  <c r="J96" i="36"/>
  <c r="F96" i="36"/>
  <c r="E96" i="36"/>
  <c r="F95" i="36"/>
  <c r="E95" i="36"/>
  <c r="F94" i="36"/>
  <c r="E94" i="36"/>
  <c r="F93" i="36"/>
  <c r="E93" i="36"/>
  <c r="F92" i="36"/>
  <c r="E92" i="36"/>
  <c r="F91" i="36"/>
  <c r="E91" i="36"/>
  <c r="F90" i="36"/>
  <c r="E90" i="36"/>
  <c r="F89" i="36"/>
  <c r="E89" i="36"/>
  <c r="F88" i="36"/>
  <c r="E88" i="36"/>
  <c r="L87" i="36"/>
  <c r="K87" i="36"/>
  <c r="F87" i="36"/>
  <c r="E87" i="36"/>
  <c r="L86" i="36"/>
  <c r="K86" i="36"/>
  <c r="F86" i="36"/>
  <c r="E86" i="36"/>
  <c r="F85" i="36"/>
  <c r="E85" i="36"/>
  <c r="F84" i="36"/>
  <c r="E84" i="36"/>
  <c r="M83" i="36"/>
  <c r="L83" i="36"/>
  <c r="K83" i="36"/>
  <c r="F83" i="36"/>
  <c r="E83" i="36"/>
  <c r="F82" i="36"/>
  <c r="E82" i="36"/>
  <c r="F81" i="36"/>
  <c r="E81" i="36"/>
  <c r="F80" i="36"/>
  <c r="E80" i="36"/>
  <c r="O79" i="36"/>
  <c r="L79" i="36"/>
  <c r="K79" i="36"/>
  <c r="F79" i="36"/>
  <c r="E79" i="36"/>
  <c r="F78" i="36"/>
  <c r="E78" i="36"/>
  <c r="F77" i="36"/>
  <c r="E77" i="36"/>
  <c r="L76" i="36"/>
  <c r="K76" i="36"/>
  <c r="F76" i="36"/>
  <c r="E76" i="36"/>
  <c r="F75" i="36"/>
  <c r="E75" i="36"/>
  <c r="K74" i="36"/>
  <c r="F74" i="36"/>
  <c r="E74" i="36"/>
  <c r="F73" i="36"/>
  <c r="E73" i="36"/>
  <c r="F72" i="36"/>
  <c r="E72" i="36"/>
  <c r="F71" i="36"/>
  <c r="E71" i="36"/>
  <c r="F70" i="36"/>
  <c r="E70" i="36"/>
  <c r="F69" i="36"/>
  <c r="E69" i="36"/>
  <c r="H68" i="36"/>
  <c r="F68" i="36"/>
  <c r="E68" i="36"/>
  <c r="F67" i="36"/>
  <c r="E67" i="36"/>
  <c r="F66" i="36"/>
  <c r="E66" i="36"/>
  <c r="F65" i="36"/>
  <c r="E65" i="36"/>
  <c r="F64" i="36"/>
  <c r="E64" i="36"/>
  <c r="F63" i="36"/>
  <c r="E63" i="36"/>
  <c r="F62" i="36"/>
  <c r="E62" i="36"/>
  <c r="L61" i="36"/>
  <c r="K61" i="36"/>
  <c r="F61" i="36"/>
  <c r="E61" i="36"/>
  <c r="F60" i="36"/>
  <c r="E60" i="36"/>
  <c r="F59" i="36"/>
  <c r="E59" i="36"/>
  <c r="F58" i="36"/>
  <c r="E58" i="36"/>
  <c r="F57" i="36"/>
  <c r="E57" i="36"/>
  <c r="F56" i="36"/>
  <c r="E56" i="36"/>
  <c r="F55" i="36"/>
  <c r="E55" i="36"/>
  <c r="F54" i="36"/>
  <c r="E54" i="36"/>
  <c r="F53" i="36"/>
  <c r="E53" i="36"/>
  <c r="F52" i="36"/>
  <c r="E52" i="36"/>
  <c r="F51" i="36"/>
  <c r="E51" i="36"/>
  <c r="F50" i="36"/>
  <c r="E50" i="36"/>
  <c r="H49" i="36"/>
  <c r="F49" i="36"/>
  <c r="E49" i="36"/>
  <c r="F48" i="36"/>
  <c r="E48" i="36"/>
  <c r="F47" i="36"/>
  <c r="E47" i="36"/>
  <c r="F46" i="36"/>
  <c r="E46" i="36"/>
  <c r="F45" i="36"/>
  <c r="E45" i="36"/>
  <c r="F44" i="36"/>
  <c r="E44" i="36"/>
  <c r="F43" i="36"/>
  <c r="E43" i="36"/>
  <c r="F42" i="36"/>
  <c r="E42" i="36"/>
  <c r="F41" i="36"/>
  <c r="E41" i="36"/>
  <c r="F40" i="36"/>
  <c r="E40" i="36"/>
  <c r="F39" i="36"/>
  <c r="E39" i="36"/>
  <c r="F38" i="36"/>
  <c r="E38" i="36"/>
  <c r="I37" i="36"/>
  <c r="H37" i="36"/>
  <c r="F37" i="36"/>
  <c r="E37" i="36"/>
  <c r="L36" i="36"/>
  <c r="K36" i="36"/>
  <c r="I36" i="36"/>
  <c r="F36" i="36"/>
  <c r="E36" i="36"/>
  <c r="F35" i="36"/>
  <c r="E35" i="36"/>
  <c r="F34" i="36"/>
  <c r="E34" i="36"/>
  <c r="F33" i="36"/>
  <c r="E33" i="36"/>
  <c r="F32" i="36"/>
  <c r="E32" i="36"/>
  <c r="F31" i="36"/>
  <c r="E31" i="36"/>
  <c r="F30" i="36"/>
  <c r="E30" i="36"/>
  <c r="F29" i="36"/>
  <c r="E29" i="36"/>
  <c r="F28" i="36"/>
  <c r="E28" i="36"/>
  <c r="F27" i="36"/>
  <c r="E27" i="36"/>
  <c r="F26" i="36"/>
  <c r="E26" i="36"/>
  <c r="F25" i="36"/>
  <c r="E25" i="36"/>
  <c r="K24" i="36"/>
  <c r="F24" i="36"/>
  <c r="E24" i="36"/>
  <c r="F23" i="36"/>
  <c r="E23" i="36"/>
  <c r="F22" i="36"/>
  <c r="E22" i="36"/>
  <c r="F21" i="36"/>
  <c r="E21" i="36"/>
  <c r="F20" i="36"/>
  <c r="E20" i="36"/>
  <c r="F19" i="36"/>
  <c r="E19" i="36"/>
  <c r="F18" i="36"/>
  <c r="E18" i="36"/>
  <c r="L17" i="36"/>
  <c r="K17" i="36"/>
  <c r="F17" i="36"/>
  <c r="E17" i="36"/>
  <c r="F16" i="36"/>
  <c r="E16" i="36"/>
  <c r="L15" i="36"/>
  <c r="H15" i="36"/>
  <c r="F15" i="36"/>
  <c r="E15" i="36"/>
  <c r="L14" i="36"/>
  <c r="H14" i="36"/>
  <c r="F14" i="36"/>
  <c r="E14" i="36"/>
  <c r="F13" i="36"/>
  <c r="E13" i="36"/>
  <c r="H12" i="36"/>
  <c r="F12" i="36"/>
  <c r="E12" i="36"/>
  <c r="F11" i="36"/>
  <c r="E11" i="36"/>
  <c r="F10" i="36"/>
  <c r="E10" i="36"/>
  <c r="I9" i="36"/>
  <c r="F9" i="36"/>
  <c r="E9" i="36"/>
  <c r="H8" i="36"/>
  <c r="F8" i="36"/>
  <c r="E8" i="36"/>
  <c r="F7" i="36"/>
  <c r="E7" i="36"/>
  <c r="F6" i="36"/>
  <c r="E6" i="36"/>
  <c r="F5" i="36"/>
  <c r="E5" i="36"/>
  <c r="F4" i="36"/>
  <c r="E4" i="36"/>
  <c r="F3" i="36"/>
  <c r="E3" i="36"/>
  <c r="R351" i="40"/>
  <c r="R349" i="40"/>
  <c r="R347" i="40"/>
  <c r="M38" i="39"/>
  <c r="I37" i="39"/>
  <c r="G37" i="39"/>
  <c r="G35" i="39"/>
  <c r="I32" i="39"/>
  <c r="G32" i="39"/>
  <c r="M25" i="39"/>
  <c r="M21" i="39"/>
  <c r="I20" i="39"/>
  <c r="G20" i="39"/>
  <c r="I13" i="39"/>
  <c r="G13" i="39"/>
  <c r="M6" i="39"/>
  <c r="P1212" i="14"/>
  <c r="P1209" i="14"/>
  <c r="P1208" i="14"/>
  <c r="P1207" i="14"/>
  <c r="P1206" i="14"/>
  <c r="P1205" i="14"/>
  <c r="P1203" i="14"/>
  <c r="P1202" i="14"/>
  <c r="P1201" i="14"/>
  <c r="P1200" i="14"/>
  <c r="R1191" i="14"/>
  <c r="P1191" i="14"/>
  <c r="P1190" i="14"/>
  <c r="P1189" i="14"/>
  <c r="P1188" i="14"/>
  <c r="AA1186" i="14"/>
  <c r="Z1186" i="14"/>
  <c r="AA1185" i="14"/>
  <c r="Z1185" i="14"/>
  <c r="R1185" i="14"/>
  <c r="P1185" i="14"/>
  <c r="R1184" i="14"/>
  <c r="P1184" i="14"/>
  <c r="AA1183" i="14"/>
  <c r="Z1183" i="14"/>
  <c r="R1183" i="14"/>
  <c r="P1183" i="14"/>
  <c r="AA1182" i="14"/>
  <c r="Z1182" i="14"/>
  <c r="R1182" i="14"/>
  <c r="P1182" i="14"/>
  <c r="R1181" i="14"/>
  <c r="P1181" i="14"/>
  <c r="R1180" i="14"/>
  <c r="P1180" i="14"/>
  <c r="AA1176" i="14"/>
  <c r="Z1176" i="14"/>
  <c r="R1176" i="14"/>
  <c r="P1176" i="14"/>
  <c r="AA1175" i="14"/>
  <c r="Z1175" i="14"/>
  <c r="R1175" i="14"/>
  <c r="P1175" i="14"/>
  <c r="AA1174" i="14"/>
  <c r="Z1174" i="14"/>
  <c r="R1174" i="14"/>
  <c r="P1174" i="14"/>
  <c r="AA1173" i="14"/>
  <c r="Z1173" i="14"/>
  <c r="R1173" i="14"/>
  <c r="P1173" i="14"/>
  <c r="R1172" i="14"/>
  <c r="P1172" i="14"/>
  <c r="X1171" i="14"/>
  <c r="W1171" i="14"/>
  <c r="R1171" i="14"/>
  <c r="P1171" i="14"/>
  <c r="X1170" i="14"/>
  <c r="W1170" i="14"/>
  <c r="R1170" i="14"/>
  <c r="P1170" i="14"/>
  <c r="X1169" i="14"/>
  <c r="W1169" i="14"/>
  <c r="R1169" i="14"/>
  <c r="P1169" i="14"/>
  <c r="X1168" i="14"/>
  <c r="W1168" i="14"/>
  <c r="R1168" i="14"/>
  <c r="P1168" i="14"/>
  <c r="X1167" i="14"/>
  <c r="W1167" i="14"/>
  <c r="R1167" i="14"/>
  <c r="P1167" i="14"/>
  <c r="X1166" i="14"/>
  <c r="W1166" i="14"/>
  <c r="R1166" i="14"/>
  <c r="P1166" i="14"/>
  <c r="X1165" i="14"/>
  <c r="W1165" i="14"/>
  <c r="R1165" i="14"/>
  <c r="P1165" i="14"/>
  <c r="X1164" i="14"/>
  <c r="W1164" i="14"/>
  <c r="R1164" i="14"/>
  <c r="P1164" i="14"/>
  <c r="X1163" i="14"/>
  <c r="W1163" i="14"/>
  <c r="R1163" i="14"/>
  <c r="P1163" i="14"/>
  <c r="P476" i="14"/>
  <c r="N468" i="14"/>
  <c r="L467" i="14"/>
  <c r="B466" i="14"/>
  <c r="N445" i="14"/>
  <c r="L445" i="14"/>
  <c r="J445" i="14"/>
  <c r="H445" i="14"/>
  <c r="N443" i="14"/>
  <c r="N441" i="14"/>
  <c r="L434" i="14"/>
  <c r="S431" i="14"/>
  <c r="J431" i="14"/>
  <c r="J434" i="14" s="1"/>
  <c r="H431" i="14"/>
  <c r="H434" i="14" s="1"/>
  <c r="S430" i="14"/>
  <c r="S429" i="14"/>
  <c r="S428" i="14"/>
  <c r="J394" i="14"/>
  <c r="N392" i="14"/>
  <c r="L392" i="14"/>
  <c r="N391" i="14"/>
  <c r="N388" i="14"/>
  <c r="L388" i="14"/>
  <c r="L379" i="14"/>
  <c r="J379" i="14"/>
  <c r="N377" i="14"/>
  <c r="N376" i="14"/>
  <c r="N375" i="14"/>
  <c r="N374" i="14"/>
  <c r="H374" i="14"/>
  <c r="B374" i="14"/>
  <c r="N373" i="14"/>
  <c r="B373" i="14"/>
  <c r="N372" i="14"/>
  <c r="B372" i="14"/>
  <c r="N371" i="14"/>
  <c r="J360" i="14"/>
  <c r="L357" i="14"/>
  <c r="N357" i="14" s="1"/>
  <c r="N356" i="14"/>
  <c r="L356" i="14"/>
  <c r="N343" i="14"/>
  <c r="H343" i="14"/>
  <c r="B343" i="14"/>
  <c r="N342" i="14"/>
  <c r="H342" i="14"/>
  <c r="B342" i="14"/>
  <c r="N341" i="14"/>
  <c r="H341" i="14"/>
  <c r="B341" i="14"/>
  <c r="L340" i="14"/>
  <c r="L346" i="14" s="1"/>
  <c r="J340" i="14"/>
  <c r="J346" i="14" s="1"/>
  <c r="H340" i="14"/>
  <c r="A329" i="14"/>
  <c r="N324" i="14"/>
  <c r="N323" i="14"/>
  <c r="N319" i="14"/>
  <c r="H319" i="14"/>
  <c r="L311" i="14"/>
  <c r="J311" i="14"/>
  <c r="N309" i="14"/>
  <c r="H309" i="14"/>
  <c r="H308" i="14"/>
  <c r="N308" i="14" s="1"/>
  <c r="H307" i="14"/>
  <c r="N307" i="14" s="1"/>
  <c r="A272" i="14"/>
  <c r="S252" i="14"/>
  <c r="N244" i="14"/>
  <c r="L242" i="14"/>
  <c r="L241" i="14"/>
  <c r="N232" i="14"/>
  <c r="L232" i="14"/>
  <c r="L230" i="14"/>
  <c r="L229" i="14"/>
  <c r="L228" i="14"/>
  <c r="L226" i="14"/>
  <c r="L225" i="14"/>
  <c r="L214" i="14"/>
  <c r="L212" i="14"/>
  <c r="L211" i="14"/>
  <c r="B211" i="14"/>
  <c r="L210" i="14"/>
  <c r="L209" i="14"/>
  <c r="N207" i="14"/>
  <c r="N216" i="14" s="1"/>
  <c r="A181" i="14"/>
  <c r="S174" i="14"/>
  <c r="Q174" i="14"/>
  <c r="S173" i="14"/>
  <c r="Q173" i="14"/>
  <c r="J167" i="14"/>
  <c r="H167" i="14"/>
  <c r="N163" i="14"/>
  <c r="N162" i="14"/>
  <c r="L161" i="14"/>
  <c r="N161" i="14" s="1"/>
  <c r="N165" i="14" s="1"/>
  <c r="O1334" i="14" s="1"/>
  <c r="N160" i="14"/>
  <c r="L160" i="14"/>
  <c r="L389" i="14" s="1"/>
  <c r="N158" i="14"/>
  <c r="L153" i="14"/>
  <c r="J153" i="14"/>
  <c r="H153" i="14"/>
  <c r="N150" i="14"/>
  <c r="N149" i="14"/>
  <c r="N147" i="14"/>
  <c r="N146" i="14"/>
  <c r="N145" i="14"/>
  <c r="B145" i="14"/>
  <c r="N144" i="14"/>
  <c r="L144" i="14"/>
  <c r="J144" i="14"/>
  <c r="H144" i="14"/>
  <c r="F144" i="14"/>
  <c r="N143" i="14"/>
  <c r="N142" i="14"/>
  <c r="O139" i="14"/>
  <c r="N139" i="14"/>
  <c r="O136" i="14"/>
  <c r="N136" i="14"/>
  <c r="O135" i="14"/>
  <c r="N135" i="14"/>
  <c r="O134" i="14"/>
  <c r="N134" i="14"/>
  <c r="L131" i="14"/>
  <c r="F131" i="14"/>
  <c r="N131" i="14" s="1"/>
  <c r="H112" i="14"/>
  <c r="J110" i="14"/>
  <c r="H110" i="14"/>
  <c r="F110" i="14"/>
  <c r="N109" i="14"/>
  <c r="N108" i="14"/>
  <c r="L108" i="14"/>
  <c r="B108" i="14"/>
  <c r="N107" i="14"/>
  <c r="L107" i="14"/>
  <c r="N106" i="14"/>
  <c r="H100" i="14"/>
  <c r="N99" i="14"/>
  <c r="L99" i="14"/>
  <c r="L98" i="14"/>
  <c r="N98" i="14" s="1"/>
  <c r="H344" i="14" s="1"/>
  <c r="N344" i="14" s="1"/>
  <c r="N96" i="14"/>
  <c r="L96" i="14"/>
  <c r="N95" i="14"/>
  <c r="L95" i="14"/>
  <c r="N94" i="14"/>
  <c r="L94" i="14"/>
  <c r="N93" i="14"/>
  <c r="L93" i="14"/>
  <c r="J93" i="14"/>
  <c r="J100" i="14" s="1"/>
  <c r="J112" i="14" s="1"/>
  <c r="H93" i="14"/>
  <c r="F92" i="14"/>
  <c r="N92" i="14" s="1"/>
  <c r="J91" i="14"/>
  <c r="N91" i="14" s="1"/>
  <c r="J87" i="14"/>
  <c r="N87" i="14" s="1"/>
  <c r="J84" i="14"/>
  <c r="N84" i="14" s="1"/>
  <c r="J83" i="14"/>
  <c r="N83" i="14" s="1"/>
  <c r="N82" i="14"/>
  <c r="J82" i="14"/>
  <c r="F82" i="14"/>
  <c r="L79" i="14"/>
  <c r="L100" i="14" s="1"/>
  <c r="R46" i="14"/>
  <c r="P46" i="14"/>
  <c r="R45" i="14"/>
  <c r="P45" i="14"/>
  <c r="A16" i="14"/>
  <c r="M27" i="16"/>
  <c r="L27" i="16"/>
  <c r="K27" i="16"/>
  <c r="J27" i="16"/>
  <c r="I27" i="16"/>
  <c r="H27" i="16"/>
  <c r="G27" i="16"/>
  <c r="F27" i="16"/>
  <c r="C27" i="16"/>
  <c r="M26" i="16"/>
  <c r="L26" i="16"/>
  <c r="J26" i="16"/>
  <c r="I26" i="16"/>
  <c r="H26" i="16"/>
  <c r="F26" i="16"/>
  <c r="C26" i="16"/>
  <c r="M25" i="16"/>
  <c r="L25" i="16"/>
  <c r="J25" i="16"/>
  <c r="I25" i="16"/>
  <c r="H25" i="16"/>
  <c r="F25" i="16"/>
  <c r="C25" i="16"/>
  <c r="M24" i="16"/>
  <c r="L24" i="16"/>
  <c r="J24" i="16"/>
  <c r="I24" i="16"/>
  <c r="H24" i="16"/>
  <c r="F24" i="16"/>
  <c r="C24" i="16"/>
  <c r="M23" i="16"/>
  <c r="L23" i="16"/>
  <c r="I23" i="16"/>
  <c r="H23" i="16"/>
  <c r="F23" i="16"/>
  <c r="G17" i="16"/>
  <c r="F37" i="5" s="1"/>
  <c r="G15" i="16"/>
  <c r="F15" i="16"/>
  <c r="D15" i="16"/>
  <c r="C15" i="16"/>
  <c r="G13" i="16"/>
  <c r="F13" i="16"/>
  <c r="E13" i="16"/>
  <c r="G12" i="16"/>
  <c r="D12" i="16"/>
  <c r="C6" i="16"/>
  <c r="F83" i="35"/>
  <c r="F81" i="35"/>
  <c r="B81" i="35"/>
  <c r="B80" i="35"/>
  <c r="B79" i="35"/>
  <c r="B77" i="35"/>
  <c r="B76" i="35"/>
  <c r="B75" i="35"/>
  <c r="H73" i="35"/>
  <c r="F73" i="35"/>
  <c r="H65" i="35"/>
  <c r="F65" i="35"/>
  <c r="H62" i="35"/>
  <c r="F62" i="35"/>
  <c r="H57" i="35"/>
  <c r="F57" i="35"/>
  <c r="H55" i="35"/>
  <c r="F55" i="35"/>
  <c r="H39" i="35"/>
  <c r="F39" i="35"/>
  <c r="H35" i="35"/>
  <c r="F35" i="35"/>
  <c r="A76" i="27"/>
  <c r="I73" i="27"/>
  <c r="I46" i="27"/>
  <c r="H39" i="44"/>
  <c r="G39" i="44"/>
  <c r="H38" i="44"/>
  <c r="I24" i="44"/>
  <c r="H24" i="44"/>
  <c r="G24" i="44"/>
  <c r="B24" i="44"/>
  <c r="F22" i="44"/>
  <c r="F19" i="44"/>
  <c r="I11" i="44"/>
  <c r="H11" i="44"/>
  <c r="G11" i="44"/>
  <c r="F9" i="44"/>
  <c r="H9" i="46"/>
  <c r="H8" i="46"/>
  <c r="G8" i="46"/>
  <c r="H9" i="38"/>
  <c r="H8" i="38"/>
  <c r="G8" i="38"/>
  <c r="J99" i="12"/>
  <c r="J90" i="12"/>
  <c r="J89" i="12"/>
  <c r="L88" i="12"/>
  <c r="L89" i="12" s="1"/>
  <c r="J88" i="12"/>
  <c r="J92" i="12" s="1"/>
  <c r="J93" i="12" s="1"/>
  <c r="M87" i="12"/>
  <c r="M88" i="12" s="1"/>
  <c r="H48" i="12"/>
  <c r="F48" i="12"/>
  <c r="H33" i="12"/>
  <c r="F33" i="12"/>
  <c r="L28" i="12"/>
  <c r="L25" i="12"/>
  <c r="J53" i="10"/>
  <c r="I53" i="10"/>
  <c r="H53" i="10"/>
  <c r="G50" i="10"/>
  <c r="G49" i="10"/>
  <c r="J34" i="10"/>
  <c r="B34" i="10"/>
  <c r="J32" i="10"/>
  <c r="I32" i="10"/>
  <c r="H32" i="10"/>
  <c r="B32" i="10"/>
  <c r="H30" i="10"/>
  <c r="G27" i="10"/>
  <c r="N25" i="10"/>
  <c r="J25" i="10"/>
  <c r="G25" i="10"/>
  <c r="J21" i="10"/>
  <c r="G21" i="10"/>
  <c r="J18" i="10"/>
  <c r="G18" i="10"/>
  <c r="J16" i="10"/>
  <c r="G16" i="10"/>
  <c r="J15" i="10"/>
  <c r="G15" i="10"/>
  <c r="P24" i="9"/>
  <c r="O22" i="9"/>
  <c r="J22" i="9"/>
  <c r="B22" i="9"/>
  <c r="J20" i="9"/>
  <c r="I20" i="9"/>
  <c r="H20" i="9"/>
  <c r="B20" i="9"/>
  <c r="H18" i="9"/>
  <c r="H17" i="9"/>
  <c r="G16" i="9"/>
  <c r="L34" i="45"/>
  <c r="K32" i="45"/>
  <c r="J32" i="45"/>
  <c r="L29" i="45"/>
  <c r="I29" i="45"/>
  <c r="L20" i="45"/>
  <c r="L32" i="45" s="1"/>
  <c r="I20" i="45"/>
  <c r="L19" i="45"/>
  <c r="I19" i="45"/>
  <c r="I18" i="45"/>
  <c r="L15" i="45"/>
  <c r="I15" i="45"/>
  <c r="L14" i="45"/>
  <c r="I14" i="45"/>
  <c r="L13" i="45"/>
  <c r="I13" i="45"/>
  <c r="L12" i="45"/>
  <c r="I12" i="45"/>
  <c r="L11" i="45"/>
  <c r="I11" i="45"/>
  <c r="L10" i="45"/>
  <c r="I10" i="45"/>
  <c r="L9" i="45"/>
  <c r="I9" i="45"/>
  <c r="L8" i="45"/>
  <c r="I8" i="45"/>
  <c r="J125" i="18"/>
  <c r="I123" i="18"/>
  <c r="G142" i="8" s="1"/>
  <c r="I121" i="18"/>
  <c r="H121" i="18"/>
  <c r="H123" i="18" s="1"/>
  <c r="G400" i="8" s="1"/>
  <c r="O120" i="18"/>
  <c r="N120" i="18"/>
  <c r="J120" i="18"/>
  <c r="J121" i="18" s="1"/>
  <c r="G120" i="18"/>
  <c r="I117" i="18"/>
  <c r="H117" i="18"/>
  <c r="O116" i="18"/>
  <c r="N116" i="18"/>
  <c r="J116" i="18"/>
  <c r="J117" i="18" s="1"/>
  <c r="G116" i="18"/>
  <c r="I113" i="18"/>
  <c r="H113" i="18"/>
  <c r="O111" i="18"/>
  <c r="N111" i="18"/>
  <c r="J111" i="18"/>
  <c r="P111" i="18" s="1"/>
  <c r="G111" i="18"/>
  <c r="O110" i="18"/>
  <c r="N110" i="18"/>
  <c r="J110" i="18"/>
  <c r="P110" i="18" s="1"/>
  <c r="G110" i="18"/>
  <c r="P109" i="18"/>
  <c r="O109" i="18"/>
  <c r="N109" i="18"/>
  <c r="J109" i="18"/>
  <c r="J113" i="18" s="1"/>
  <c r="G109" i="18"/>
  <c r="I106" i="18"/>
  <c r="H106" i="18"/>
  <c r="P104" i="18"/>
  <c r="O104" i="18"/>
  <c r="N104" i="18"/>
  <c r="J104" i="18"/>
  <c r="G104" i="18"/>
  <c r="O103" i="18"/>
  <c r="N103" i="18"/>
  <c r="J103" i="18"/>
  <c r="P103" i="18" s="1"/>
  <c r="G103" i="18"/>
  <c r="O102" i="18"/>
  <c r="N102" i="18"/>
  <c r="J102" i="18"/>
  <c r="J106" i="18" s="1"/>
  <c r="G102" i="18"/>
  <c r="O101" i="18"/>
  <c r="N101" i="18"/>
  <c r="J101" i="18"/>
  <c r="P101" i="18" s="1"/>
  <c r="G101" i="18"/>
  <c r="P100" i="18"/>
  <c r="O100" i="18"/>
  <c r="N100" i="18"/>
  <c r="J100" i="18"/>
  <c r="G100" i="18"/>
  <c r="I97" i="18"/>
  <c r="H97" i="18"/>
  <c r="P95" i="18"/>
  <c r="O95" i="18"/>
  <c r="N95" i="18"/>
  <c r="J95" i="18"/>
  <c r="G95" i="18"/>
  <c r="P94" i="18"/>
  <c r="O94" i="18"/>
  <c r="N94" i="18"/>
  <c r="J94" i="18"/>
  <c r="G94" i="18"/>
  <c r="O93" i="18"/>
  <c r="N93" i="18"/>
  <c r="J93" i="18"/>
  <c r="J97" i="18" s="1"/>
  <c r="G93" i="18"/>
  <c r="O92" i="18"/>
  <c r="N92" i="18"/>
  <c r="J92" i="18"/>
  <c r="P92" i="18" s="1"/>
  <c r="G92" i="18"/>
  <c r="I89" i="18"/>
  <c r="H89" i="18"/>
  <c r="O88" i="18"/>
  <c r="N88" i="18"/>
  <c r="J88" i="18"/>
  <c r="P88" i="18" s="1"/>
  <c r="G88" i="18"/>
  <c r="P87" i="18"/>
  <c r="O87" i="18"/>
  <c r="N87" i="18"/>
  <c r="J87" i="18"/>
  <c r="G87" i="18"/>
  <c r="O86" i="18"/>
  <c r="N86" i="18"/>
  <c r="J86" i="18"/>
  <c r="P86" i="18" s="1"/>
  <c r="G86" i="18"/>
  <c r="I83" i="18"/>
  <c r="H83" i="18"/>
  <c r="O82" i="18"/>
  <c r="N82" i="18"/>
  <c r="J82" i="18"/>
  <c r="P82" i="18" s="1"/>
  <c r="G82" i="18"/>
  <c r="I79" i="18"/>
  <c r="H79" i="18"/>
  <c r="O78" i="18"/>
  <c r="N78" i="18"/>
  <c r="J78" i="18"/>
  <c r="P78" i="18" s="1"/>
  <c r="G78" i="18"/>
  <c r="O77" i="18"/>
  <c r="N77" i="18"/>
  <c r="J77" i="18"/>
  <c r="P77" i="18" s="1"/>
  <c r="G77" i="18"/>
  <c r="O76" i="18"/>
  <c r="N76" i="18"/>
  <c r="J76" i="18"/>
  <c r="P76" i="18" s="1"/>
  <c r="G76" i="18"/>
  <c r="J73" i="18"/>
  <c r="I73" i="18"/>
  <c r="H73" i="18"/>
  <c r="O72" i="18"/>
  <c r="N72" i="18"/>
  <c r="J72" i="18"/>
  <c r="P72" i="18" s="1"/>
  <c r="G72" i="18"/>
  <c r="P71" i="18"/>
  <c r="O71" i="18"/>
  <c r="N71" i="18"/>
  <c r="J71" i="18"/>
  <c r="G71" i="18"/>
  <c r="J67" i="18"/>
  <c r="I67" i="18"/>
  <c r="H67" i="18"/>
  <c r="P66" i="18"/>
  <c r="O66" i="18"/>
  <c r="N66" i="18"/>
  <c r="J66" i="18"/>
  <c r="G66" i="18"/>
  <c r="I63" i="18"/>
  <c r="H63" i="18"/>
  <c r="P62" i="18"/>
  <c r="O62" i="18"/>
  <c r="N62" i="18"/>
  <c r="J62" i="18"/>
  <c r="G62" i="18"/>
  <c r="P61" i="18"/>
  <c r="O61" i="18"/>
  <c r="N61" i="18"/>
  <c r="J61" i="18"/>
  <c r="G61" i="18"/>
  <c r="O60" i="18"/>
  <c r="N60" i="18"/>
  <c r="J60" i="18"/>
  <c r="P60" i="18" s="1"/>
  <c r="G60" i="18"/>
  <c r="I57" i="18"/>
  <c r="H57" i="18"/>
  <c r="O55" i="18"/>
  <c r="N55" i="18"/>
  <c r="J55" i="18"/>
  <c r="P55" i="18" s="1"/>
  <c r="G55" i="18"/>
  <c r="O54" i="18"/>
  <c r="N54" i="18"/>
  <c r="J54" i="18"/>
  <c r="J57" i="18" s="1"/>
  <c r="G54" i="18"/>
  <c r="I51" i="18"/>
  <c r="H51" i="18"/>
  <c r="O49" i="18"/>
  <c r="N49" i="18"/>
  <c r="J49" i="18"/>
  <c r="P49" i="18" s="1"/>
  <c r="G49" i="18"/>
  <c r="P48" i="18"/>
  <c r="O48" i="18"/>
  <c r="N48" i="18"/>
  <c r="J48" i="18"/>
  <c r="G48" i="18"/>
  <c r="O47" i="18"/>
  <c r="N47" i="18"/>
  <c r="J47" i="18"/>
  <c r="P47" i="18" s="1"/>
  <c r="G47" i="18"/>
  <c r="O46" i="18"/>
  <c r="N46" i="18"/>
  <c r="J46" i="18"/>
  <c r="P46" i="18" s="1"/>
  <c r="G46" i="18"/>
  <c r="O45" i="18"/>
  <c r="N45" i="18"/>
  <c r="J45" i="18"/>
  <c r="P45" i="18" s="1"/>
  <c r="G45" i="18"/>
  <c r="I42" i="18"/>
  <c r="H42" i="18"/>
  <c r="O40" i="18"/>
  <c r="N40" i="18"/>
  <c r="J40" i="18"/>
  <c r="P40" i="18" s="1"/>
  <c r="G40" i="18"/>
  <c r="U39" i="18"/>
  <c r="O39" i="18"/>
  <c r="N39" i="18"/>
  <c r="J39" i="18"/>
  <c r="J42" i="18" s="1"/>
  <c r="G39" i="18"/>
  <c r="O38" i="18"/>
  <c r="N38" i="18"/>
  <c r="J38" i="18"/>
  <c r="P38" i="18" s="1"/>
  <c r="G38" i="18"/>
  <c r="U37" i="18"/>
  <c r="I35" i="18"/>
  <c r="H35" i="18"/>
  <c r="U33" i="18"/>
  <c r="P33" i="18"/>
  <c r="O33" i="18"/>
  <c r="N33" i="18"/>
  <c r="J33" i="18"/>
  <c r="G33" i="18"/>
  <c r="U32" i="18"/>
  <c r="O32" i="18"/>
  <c r="N32" i="18"/>
  <c r="J32" i="18"/>
  <c r="P32" i="18" s="1"/>
  <c r="G32" i="18"/>
  <c r="P31" i="18"/>
  <c r="O31" i="18"/>
  <c r="N31" i="18"/>
  <c r="J31" i="18"/>
  <c r="G31" i="18"/>
  <c r="P30" i="18"/>
  <c r="O30" i="18"/>
  <c r="N30" i="18"/>
  <c r="J30" i="18"/>
  <c r="G30" i="18"/>
  <c r="P29" i="18"/>
  <c r="O29" i="18"/>
  <c r="N29" i="18"/>
  <c r="J29" i="18"/>
  <c r="G29" i="18"/>
  <c r="O28" i="18"/>
  <c r="N28" i="18"/>
  <c r="J28" i="18"/>
  <c r="P28" i="18" s="1"/>
  <c r="G28" i="18"/>
  <c r="N27" i="18"/>
  <c r="J25" i="18"/>
  <c r="I25" i="18"/>
  <c r="H25" i="18"/>
  <c r="P23" i="18"/>
  <c r="O23" i="18"/>
  <c r="N23" i="18"/>
  <c r="J23" i="18"/>
  <c r="G23" i="18"/>
  <c r="P22" i="18"/>
  <c r="O22" i="18"/>
  <c r="N22" i="18"/>
  <c r="J22" i="18"/>
  <c r="G22" i="18"/>
  <c r="J20" i="18"/>
  <c r="I20" i="18"/>
  <c r="H20" i="18"/>
  <c r="J18" i="18"/>
  <c r="G18" i="18"/>
  <c r="J17" i="18"/>
  <c r="G17" i="18"/>
  <c r="U16" i="18"/>
  <c r="U15" i="18"/>
  <c r="U14" i="18"/>
  <c r="U13" i="18"/>
  <c r="U12" i="18"/>
  <c r="A967" i="8"/>
  <c r="A966" i="8"/>
  <c r="A961" i="8"/>
  <c r="A960" i="8"/>
  <c r="F910" i="8"/>
  <c r="I910" i="8" s="1"/>
  <c r="G908" i="8"/>
  <c r="G911" i="8" s="1"/>
  <c r="D908" i="8"/>
  <c r="D911" i="8" s="1"/>
  <c r="F907" i="8"/>
  <c r="I907" i="8" s="1"/>
  <c r="F906" i="8"/>
  <c r="I906" i="8" s="1"/>
  <c r="F905" i="8"/>
  <c r="H899" i="8"/>
  <c r="G899" i="8"/>
  <c r="F898" i="8"/>
  <c r="I898" i="8" s="1"/>
  <c r="F897" i="8"/>
  <c r="I897" i="8" s="1"/>
  <c r="A884" i="8"/>
  <c r="A881" i="8"/>
  <c r="F874" i="8"/>
  <c r="I874" i="8" s="1"/>
  <c r="D874" i="8"/>
  <c r="G874" i="8" s="1"/>
  <c r="D873" i="8"/>
  <c r="G873" i="8" s="1"/>
  <c r="D872" i="8"/>
  <c r="G872" i="8" s="1"/>
  <c r="D871" i="8"/>
  <c r="G871" i="8" s="1"/>
  <c r="G870" i="8"/>
  <c r="G869" i="8"/>
  <c r="G868" i="8"/>
  <c r="G861" i="8"/>
  <c r="G860" i="8"/>
  <c r="D859" i="8"/>
  <c r="G859" i="8" s="1"/>
  <c r="F852" i="8"/>
  <c r="D852" i="8"/>
  <c r="F851" i="8"/>
  <c r="D851" i="8"/>
  <c r="F850" i="8"/>
  <c r="D850" i="8"/>
  <c r="F849" i="8"/>
  <c r="D849" i="8"/>
  <c r="F848" i="8"/>
  <c r="D848" i="8"/>
  <c r="F847" i="8"/>
  <c r="D847" i="8"/>
  <c r="F846" i="8"/>
  <c r="D846" i="8"/>
  <c r="F843" i="8"/>
  <c r="D843" i="8"/>
  <c r="F829" i="8"/>
  <c r="D829" i="8"/>
  <c r="F828" i="8"/>
  <c r="D828" i="8"/>
  <c r="F827" i="8"/>
  <c r="D827" i="8"/>
  <c r="J827" i="8" s="1"/>
  <c r="F826" i="8"/>
  <c r="D826" i="8"/>
  <c r="J826" i="8" s="1"/>
  <c r="F825" i="8"/>
  <c r="D825" i="8"/>
  <c r="J825" i="8" s="1"/>
  <c r="F824" i="8"/>
  <c r="D824" i="8"/>
  <c r="J824" i="8" s="1"/>
  <c r="F823" i="8"/>
  <c r="D823" i="8"/>
  <c r="J823" i="8" s="1"/>
  <c r="F820" i="8"/>
  <c r="D820" i="8"/>
  <c r="G788" i="8"/>
  <c r="G787" i="8"/>
  <c r="G784" i="8"/>
  <c r="K783" i="8"/>
  <c r="G783" i="8"/>
  <c r="G782" i="8"/>
  <c r="G781" i="8"/>
  <c r="G769" i="8"/>
  <c r="G766" i="8"/>
  <c r="G759" i="8"/>
  <c r="G758" i="8"/>
  <c r="G748" i="8"/>
  <c r="J748" i="8" s="1"/>
  <c r="D748" i="8"/>
  <c r="D744" i="8"/>
  <c r="D743" i="8"/>
  <c r="G739" i="8"/>
  <c r="D739" i="8"/>
  <c r="A674" i="8"/>
  <c r="A686" i="8" s="1"/>
  <c r="G661" i="8"/>
  <c r="G658" i="8"/>
  <c r="G649" i="8"/>
  <c r="G643" i="8"/>
  <c r="G642" i="8"/>
  <c r="G641" i="8"/>
  <c r="J610" i="8"/>
  <c r="L606" i="8"/>
  <c r="J606" i="8"/>
  <c r="J605" i="8"/>
  <c r="G602" i="8"/>
  <c r="G597" i="8"/>
  <c r="G593" i="8"/>
  <c r="G592" i="8"/>
  <c r="M508" i="8"/>
  <c r="L508" i="8"/>
  <c r="M506" i="8"/>
  <c r="K506" i="8"/>
  <c r="G469" i="8"/>
  <c r="L454" i="8"/>
  <c r="L437" i="8"/>
  <c r="I432" i="8"/>
  <c r="G431" i="8"/>
  <c r="G430" i="8"/>
  <c r="G429" i="8"/>
  <c r="G428" i="8"/>
  <c r="G427" i="8"/>
  <c r="G426" i="8"/>
  <c r="G425" i="8"/>
  <c r="L424" i="8"/>
  <c r="L428" i="8" s="1"/>
  <c r="G424" i="8"/>
  <c r="N422" i="8"/>
  <c r="G422" i="8"/>
  <c r="B420" i="8"/>
  <c r="I413" i="8"/>
  <c r="G412" i="8"/>
  <c r="G638" i="8" s="1"/>
  <c r="G411" i="8"/>
  <c r="G636" i="8" s="1"/>
  <c r="G410" i="8"/>
  <c r="G637" i="8" s="1"/>
  <c r="G409" i="8"/>
  <c r="G635" i="8" s="1"/>
  <c r="G408" i="8"/>
  <c r="G634" i="8" s="1"/>
  <c r="A406" i="8"/>
  <c r="A420" i="8" s="1"/>
  <c r="I401" i="8"/>
  <c r="A363" i="8"/>
  <c r="A276" i="8"/>
  <c r="K268" i="8"/>
  <c r="J244" i="8"/>
  <c r="I241" i="8"/>
  <c r="G240" i="8"/>
  <c r="N46" i="10" s="1"/>
  <c r="L235" i="8"/>
  <c r="J208" i="8"/>
  <c r="G208" i="8"/>
  <c r="I208" i="8" s="1"/>
  <c r="I209" i="8" s="1"/>
  <c r="N177" i="8"/>
  <c r="K177" i="8"/>
  <c r="K176" i="8"/>
  <c r="G176" i="8"/>
  <c r="L175" i="8"/>
  <c r="K174" i="8"/>
  <c r="G171" i="8"/>
  <c r="N175" i="8" s="1"/>
  <c r="G169" i="8"/>
  <c r="F169" i="8"/>
  <c r="A167" i="8"/>
  <c r="A237" i="8" s="1"/>
  <c r="A42" i="10" s="1"/>
  <c r="L146" i="8"/>
  <c r="I144" i="8"/>
  <c r="I145" i="8" s="1"/>
  <c r="G143" i="8"/>
  <c r="G141" i="8"/>
  <c r="F896" i="8" s="1"/>
  <c r="I896" i="8" s="1"/>
  <c r="G140" i="8"/>
  <c r="F895" i="8" s="1"/>
  <c r="G139" i="8"/>
  <c r="K122" i="8"/>
  <c r="I120" i="8"/>
  <c r="G119" i="8"/>
  <c r="G118" i="8"/>
  <c r="I76" i="34"/>
  <c r="G76" i="34"/>
  <c r="I73" i="34"/>
  <c r="J62" i="34"/>
  <c r="I61" i="34"/>
  <c r="F61" i="34"/>
  <c r="G59" i="34"/>
  <c r="I57" i="34"/>
  <c r="S55" i="34"/>
  <c r="I55" i="34"/>
  <c r="S52" i="34"/>
  <c r="R52" i="34"/>
  <c r="O51" i="34"/>
  <c r="M51" i="34"/>
  <c r="G51" i="34"/>
  <c r="J49" i="34"/>
  <c r="I47" i="34"/>
  <c r="K45" i="34"/>
  <c r="I45" i="34"/>
  <c r="G43" i="34"/>
  <c r="B43" i="34"/>
  <c r="M42" i="34"/>
  <c r="B42" i="34"/>
  <c r="B41" i="34"/>
  <c r="B40" i="34"/>
  <c r="O38" i="34"/>
  <c r="K38" i="34"/>
  <c r="I37" i="34"/>
  <c r="G36" i="34"/>
  <c r="B35" i="34"/>
  <c r="G34" i="34"/>
  <c r="B34" i="34"/>
  <c r="G33" i="34"/>
  <c r="Y32" i="34"/>
  <c r="W32" i="34"/>
  <c r="Y23" i="34" s="1"/>
  <c r="K31" i="34"/>
  <c r="B31" i="34"/>
  <c r="Y30" i="34"/>
  <c r="M29" i="34"/>
  <c r="K26" i="34"/>
  <c r="I26" i="34"/>
  <c r="G26" i="34"/>
  <c r="Q24" i="34"/>
  <c r="W23" i="34"/>
  <c r="G23" i="34"/>
  <c r="W20" i="34"/>
  <c r="G17" i="34"/>
  <c r="N26" i="34" s="1"/>
  <c r="R13" i="34"/>
  <c r="P12" i="34"/>
  <c r="G12" i="34"/>
  <c r="AQ11" i="34"/>
  <c r="AL11" i="34"/>
  <c r="AI11" i="34"/>
  <c r="AG11" i="34"/>
  <c r="AB11" i="34"/>
  <c r="Y11" i="34"/>
  <c r="W11" i="34"/>
  <c r="R11" i="34"/>
  <c r="K11" i="34"/>
  <c r="R10" i="34"/>
  <c r="P10" i="34"/>
  <c r="P16" i="34" s="1"/>
  <c r="R16" i="34" s="1"/>
  <c r="K10" i="34"/>
  <c r="AS9" i="34"/>
  <c r="AI9" i="34"/>
  <c r="AG9" i="34"/>
  <c r="AB9" i="34"/>
  <c r="Y9" i="34"/>
  <c r="W9" i="34"/>
  <c r="AS8" i="34"/>
  <c r="AN8" i="34"/>
  <c r="AN9" i="34" s="1"/>
  <c r="AI8" i="34"/>
  <c r="AD8" i="34"/>
  <c r="AD9" i="34" s="1"/>
  <c r="AB7" i="34" s="1"/>
  <c r="AD11" i="34" s="1"/>
  <c r="Y8" i="34"/>
  <c r="P8" i="34"/>
  <c r="AG7" i="34"/>
  <c r="W7" i="34"/>
  <c r="P7" i="34"/>
  <c r="AS6" i="34"/>
  <c r="AN6" i="34"/>
  <c r="AI6" i="34"/>
  <c r="AD6" i="34"/>
  <c r="Y6" i="34"/>
  <c r="R6" i="34"/>
  <c r="AQ3" i="34"/>
  <c r="AQ9" i="34" s="1"/>
  <c r="AQ7" i="34" s="1"/>
  <c r="AS11" i="34" s="1"/>
  <c r="AL3" i="34"/>
  <c r="AL9" i="34" s="1"/>
  <c r="AG3" i="34"/>
  <c r="AB3" i="34"/>
  <c r="W3" i="34"/>
  <c r="R3" i="34"/>
  <c r="K3" i="34"/>
  <c r="H77" i="22"/>
  <c r="A74" i="22"/>
  <c r="A73" i="22"/>
  <c r="A68" i="22"/>
  <c r="A67" i="22"/>
  <c r="A64" i="22"/>
  <c r="I62" i="22"/>
  <c r="N61" i="22"/>
  <c r="N58" i="22"/>
  <c r="S55" i="22"/>
  <c r="N55" i="22"/>
  <c r="N54" i="22"/>
  <c r="S53" i="22"/>
  <c r="R53" i="22"/>
  <c r="N53" i="22"/>
  <c r="O52" i="22"/>
  <c r="L52" i="22"/>
  <c r="I50" i="22"/>
  <c r="N48" i="22"/>
  <c r="N46" i="22"/>
  <c r="L43" i="22"/>
  <c r="A43" i="22"/>
  <c r="A42" i="22"/>
  <c r="A41" i="22"/>
  <c r="A40" i="22"/>
  <c r="O38" i="22"/>
  <c r="J38" i="22"/>
  <c r="J46" i="22" s="1"/>
  <c r="N37" i="22"/>
  <c r="A35" i="22"/>
  <c r="W34" i="22"/>
  <c r="A33" i="22"/>
  <c r="A32" i="22"/>
  <c r="A30" i="22"/>
  <c r="Y29" i="22"/>
  <c r="Y34" i="22" s="1"/>
  <c r="L28" i="22"/>
  <c r="N26" i="22"/>
  <c r="J26" i="22"/>
  <c r="J30" i="22" s="1"/>
  <c r="Q22" i="22"/>
  <c r="W21" i="22"/>
  <c r="W18" i="22"/>
  <c r="R13" i="22"/>
  <c r="P12" i="22"/>
  <c r="AQ11" i="22"/>
  <c r="AL11" i="22"/>
  <c r="AI11" i="22"/>
  <c r="AG11" i="22"/>
  <c r="AB11" i="22"/>
  <c r="Y11" i="22"/>
  <c r="W11" i="22"/>
  <c r="R10" i="22"/>
  <c r="AS9" i="22"/>
  <c r="AI9" i="22"/>
  <c r="AG9" i="22"/>
  <c r="AB9" i="22"/>
  <c r="Y9" i="22"/>
  <c r="W9" i="22"/>
  <c r="AS8" i="22"/>
  <c r="AN8" i="22"/>
  <c r="AN9" i="22" s="1"/>
  <c r="AI8" i="22"/>
  <c r="AD8" i="22"/>
  <c r="AD9" i="22" s="1"/>
  <c r="AB7" i="22" s="1"/>
  <c r="AD11" i="22" s="1"/>
  <c r="Y8" i="22"/>
  <c r="P8" i="22"/>
  <c r="AG7" i="22"/>
  <c r="W7" i="22"/>
  <c r="P7" i="22"/>
  <c r="AS6" i="22"/>
  <c r="AN6" i="22"/>
  <c r="AI6" i="22"/>
  <c r="AD6" i="22"/>
  <c r="Y6" i="22"/>
  <c r="R6" i="22"/>
  <c r="P10" i="22" s="1"/>
  <c r="P15" i="22" s="1"/>
  <c r="R15" i="22" s="1"/>
  <c r="AQ3" i="22"/>
  <c r="AQ9" i="22" s="1"/>
  <c r="AQ7" i="22" s="1"/>
  <c r="AS11" i="22" s="1"/>
  <c r="AL3" i="22"/>
  <c r="AL9" i="22" s="1"/>
  <c r="AG3" i="22"/>
  <c r="AB3" i="22"/>
  <c r="W3" i="22"/>
  <c r="R3" i="22"/>
  <c r="J3" i="22"/>
  <c r="A71" i="32"/>
  <c r="H66" i="32"/>
  <c r="F61" i="32"/>
  <c r="F55" i="32"/>
  <c r="A55" i="32"/>
  <c r="M48" i="32"/>
  <c r="M57" i="32" s="1"/>
  <c r="M62" i="32" s="1"/>
  <c r="M60" i="32" s="1"/>
  <c r="M47" i="32"/>
  <c r="F47" i="32"/>
  <c r="M46" i="32"/>
  <c r="F46" i="32"/>
  <c r="F48" i="32" s="1"/>
  <c r="F57" i="32" s="1"/>
  <c r="O43" i="32"/>
  <c r="M43" i="32"/>
  <c r="M38" i="32"/>
  <c r="L38" i="32"/>
  <c r="K38" i="32"/>
  <c r="J38" i="32"/>
  <c r="G38" i="32"/>
  <c r="M36" i="32"/>
  <c r="L36" i="32"/>
  <c r="K36" i="32"/>
  <c r="J36" i="32"/>
  <c r="H36" i="32"/>
  <c r="G36" i="32"/>
  <c r="F36" i="32"/>
  <c r="E36" i="32"/>
  <c r="R35" i="32"/>
  <c r="H35" i="32"/>
  <c r="F35" i="32"/>
  <c r="M34" i="32"/>
  <c r="K34" i="32"/>
  <c r="H34" i="32"/>
  <c r="G34" i="32"/>
  <c r="F34" i="32"/>
  <c r="O32" i="32"/>
  <c r="H32" i="32"/>
  <c r="G29" i="32"/>
  <c r="E29" i="32"/>
  <c r="P28" i="32"/>
  <c r="H28" i="32"/>
  <c r="P27" i="32"/>
  <c r="H27" i="32"/>
  <c r="T26" i="32"/>
  <c r="F26" i="32"/>
  <c r="F29" i="32" s="1"/>
  <c r="F38" i="32" s="1"/>
  <c r="T24" i="32"/>
  <c r="R24" i="32"/>
  <c r="G20" i="32"/>
  <c r="F20" i="32"/>
  <c r="H18" i="32"/>
  <c r="E18" i="32"/>
  <c r="AF16" i="32"/>
  <c r="AE16" i="32"/>
  <c r="S16" i="32"/>
  <c r="R16" i="32"/>
  <c r="U15" i="32"/>
  <c r="AC14" i="32"/>
  <c r="E24" i="32" s="1"/>
  <c r="AB14" i="32"/>
  <c r="Y14" i="32"/>
  <c r="E16" i="32" s="1"/>
  <c r="X14" i="32"/>
  <c r="W14" i="32"/>
  <c r="AF12" i="32"/>
  <c r="W12" i="32"/>
  <c r="W20" i="32" s="1"/>
  <c r="W22" i="32" s="1"/>
  <c r="T12" i="32"/>
  <c r="R12" i="32"/>
  <c r="P12" i="32"/>
  <c r="O12" i="32"/>
  <c r="S12" i="32" s="1"/>
  <c r="U12" i="32" s="1"/>
  <c r="K12" i="32"/>
  <c r="J12" i="32"/>
  <c r="P10" i="32"/>
  <c r="O10" i="32"/>
  <c r="P8" i="32"/>
  <c r="O8" i="32"/>
  <c r="P7" i="32"/>
  <c r="O7" i="32"/>
  <c r="O6" i="32"/>
  <c r="P4" i="32"/>
  <c r="A2" i="32"/>
  <c r="A83" i="19"/>
  <c r="A82" i="19"/>
  <c r="A77" i="19"/>
  <c r="A76" i="19"/>
  <c r="A73" i="19"/>
  <c r="Q48" i="19"/>
  <c r="Q47" i="19"/>
  <c r="Q49" i="19" s="1"/>
  <c r="A44" i="19"/>
  <c r="P43" i="19"/>
  <c r="Q29" i="19"/>
  <c r="V23" i="19"/>
  <c r="T22" i="19"/>
  <c r="T21" i="19"/>
  <c r="T23" i="19" s="1"/>
  <c r="V19" i="19"/>
  <c r="W19" i="19" s="1"/>
  <c r="W20" i="19" s="1"/>
  <c r="X19" i="19" s="1"/>
  <c r="U19" i="19"/>
  <c r="Q18" i="19"/>
  <c r="W16" i="19"/>
  <c r="W15" i="19" s="1"/>
  <c r="X16" i="19" s="1"/>
  <c r="V16" i="19"/>
  <c r="U16" i="19"/>
  <c r="Q16" i="19"/>
  <c r="I71" i="7"/>
  <c r="J61" i="7"/>
  <c r="I54" i="7"/>
  <c r="G52" i="7"/>
  <c r="G51" i="7"/>
  <c r="G54" i="7" s="1"/>
  <c r="M50" i="7"/>
  <c r="J48" i="7"/>
  <c r="I44" i="7"/>
  <c r="G42" i="7"/>
  <c r="B42" i="7"/>
  <c r="M41" i="7"/>
  <c r="K44" i="7" s="1"/>
  <c r="G31" i="7" s="1"/>
  <c r="G41" i="7"/>
  <c r="B41" i="7"/>
  <c r="G40" i="7"/>
  <c r="B40" i="7"/>
  <c r="B39" i="7"/>
  <c r="O37" i="7"/>
  <c r="K37" i="7"/>
  <c r="I36" i="7"/>
  <c r="G35" i="7"/>
  <c r="G34" i="7"/>
  <c r="B34" i="7"/>
  <c r="G33" i="7"/>
  <c r="B33" i="7"/>
  <c r="G32" i="7"/>
  <c r="K30" i="7"/>
  <c r="G30" i="7" s="1"/>
  <c r="B30" i="7"/>
  <c r="Y29" i="7"/>
  <c r="Y31" i="7" s="1"/>
  <c r="M28" i="7"/>
  <c r="K25" i="7"/>
  <c r="Q23" i="7"/>
  <c r="I23" i="7"/>
  <c r="G23" i="7"/>
  <c r="K10" i="7" s="1"/>
  <c r="W22" i="7"/>
  <c r="I22" i="7"/>
  <c r="G22" i="7"/>
  <c r="I20" i="7"/>
  <c r="W18" i="7"/>
  <c r="W31" i="7" s="1"/>
  <c r="Y22" i="7" s="1"/>
  <c r="I15" i="7"/>
  <c r="G15" i="7"/>
  <c r="R11" i="7"/>
  <c r="P10" i="7"/>
  <c r="I10" i="7"/>
  <c r="I25" i="7" s="1"/>
  <c r="I46" i="7" s="1"/>
  <c r="I56" i="7" s="1"/>
  <c r="I60" i="7" s="1"/>
  <c r="G10" i="7"/>
  <c r="G25" i="7" s="1"/>
  <c r="AQ9" i="7"/>
  <c r="AL9" i="7"/>
  <c r="AI9" i="7"/>
  <c r="AG9" i="7"/>
  <c r="AB9" i="7"/>
  <c r="Y9" i="7"/>
  <c r="W9" i="7"/>
  <c r="R9" i="7"/>
  <c r="K9" i="7"/>
  <c r="R8" i="7"/>
  <c r="K8" i="7"/>
  <c r="AS7" i="7"/>
  <c r="AI7" i="7"/>
  <c r="AG7" i="7"/>
  <c r="AB7" i="7"/>
  <c r="Y7" i="7"/>
  <c r="W7" i="7"/>
  <c r="AS6" i="7"/>
  <c r="AN6" i="7"/>
  <c r="AN7" i="7" s="1"/>
  <c r="AI6" i="7"/>
  <c r="AD6" i="7"/>
  <c r="AD7" i="7" s="1"/>
  <c r="AB5" i="7" s="1"/>
  <c r="AD9" i="7" s="1"/>
  <c r="Y6" i="7"/>
  <c r="P6" i="7"/>
  <c r="AG5" i="7"/>
  <c r="W5" i="7"/>
  <c r="P5" i="7"/>
  <c r="AS4" i="7"/>
  <c r="AN4" i="7"/>
  <c r="AI4" i="7"/>
  <c r="AD4" i="7"/>
  <c r="Y4" i="7"/>
  <c r="R4" i="7"/>
  <c r="P8" i="7" s="1"/>
  <c r="P14" i="7" s="1"/>
  <c r="R14" i="7" s="1"/>
  <c r="AQ3" i="7"/>
  <c r="AQ7" i="7" s="1"/>
  <c r="AQ5" i="7" s="1"/>
  <c r="AS9" i="7" s="1"/>
  <c r="AL3" i="7"/>
  <c r="AL7" i="7" s="1"/>
  <c r="AG3" i="7"/>
  <c r="AB3" i="7"/>
  <c r="W3" i="7"/>
  <c r="R3" i="7"/>
  <c r="K3" i="7"/>
  <c r="H54" i="6"/>
  <c r="F50" i="6"/>
  <c r="H46" i="6"/>
  <c r="F43" i="6"/>
  <c r="H40" i="6"/>
  <c r="F40" i="6"/>
  <c r="H38" i="6"/>
  <c r="F37" i="6"/>
  <c r="F33" i="6"/>
  <c r="F30" i="6"/>
  <c r="F38" i="6" s="1"/>
  <c r="H26" i="6"/>
  <c r="F25" i="6"/>
  <c r="F21" i="6"/>
  <c r="M20" i="6"/>
  <c r="L20" i="6"/>
  <c r="F20" i="6"/>
  <c r="F26" i="6" s="1"/>
  <c r="H16" i="6"/>
  <c r="F16" i="6"/>
  <c r="F15" i="6"/>
  <c r="M11" i="6"/>
  <c r="L11" i="6"/>
  <c r="J11" i="6"/>
  <c r="I11" i="6"/>
  <c r="J10" i="6"/>
  <c r="I10" i="6"/>
  <c r="F10" i="6"/>
  <c r="F8" i="6"/>
  <c r="O57" i="5"/>
  <c r="O56" i="5"/>
  <c r="O55" i="5"/>
  <c r="O54" i="5"/>
  <c r="O53" i="5"/>
  <c r="O52" i="5"/>
  <c r="O51" i="5"/>
  <c r="H39" i="5"/>
  <c r="R37" i="5"/>
  <c r="M37" i="5"/>
  <c r="L37" i="5"/>
  <c r="K37" i="5"/>
  <c r="H32" i="5"/>
  <c r="H30" i="5"/>
  <c r="F30" i="5"/>
  <c r="N28" i="5"/>
  <c r="M28" i="5"/>
  <c r="F28" i="5"/>
  <c r="H20" i="5"/>
  <c r="F19" i="5"/>
  <c r="F20" i="5" s="1"/>
  <c r="F32" i="5" s="1"/>
  <c r="F39" i="5" s="1"/>
  <c r="F17" i="5"/>
  <c r="A16" i="5"/>
  <c r="H14" i="5"/>
  <c r="F14" i="5"/>
  <c r="F12" i="5"/>
  <c r="F11" i="5"/>
  <c r="A27" i="4"/>
  <c r="A26" i="4"/>
  <c r="A21" i="4"/>
  <c r="A20" i="4"/>
  <c r="A17" i="4"/>
  <c r="A3" i="4"/>
  <c r="A3" i="34" s="1"/>
  <c r="F12" i="37"/>
  <c r="A93" i="3"/>
  <c r="A92" i="3"/>
  <c r="A87" i="3"/>
  <c r="A86" i="3"/>
  <c r="A84" i="3"/>
  <c r="A42" i="5" s="1"/>
  <c r="A57" i="6" s="1"/>
  <c r="R79" i="3"/>
  <c r="Q79" i="3"/>
  <c r="Q61" i="3"/>
  <c r="R61" i="3" s="1"/>
  <c r="K55" i="3"/>
  <c r="R51" i="3"/>
  <c r="S51" i="3" s="1"/>
  <c r="U48" i="3"/>
  <c r="K45" i="3"/>
  <c r="R43" i="3"/>
  <c r="S43" i="3" s="1"/>
  <c r="R42" i="3"/>
  <c r="S42" i="3" s="1"/>
  <c r="R40" i="3"/>
  <c r="S40" i="3" s="1"/>
  <c r="S39" i="3"/>
  <c r="R39" i="3"/>
  <c r="R38" i="3"/>
  <c r="S38" i="3" s="1"/>
  <c r="Q38" i="3"/>
  <c r="G590" i="8"/>
  <c r="Q36" i="3"/>
  <c r="R36" i="3" s="1"/>
  <c r="S36" i="3" s="1"/>
  <c r="G591" i="8"/>
  <c r="W35" i="3"/>
  <c r="V35" i="3"/>
  <c r="R35" i="3"/>
  <c r="S35" i="3" s="1"/>
  <c r="R34" i="3"/>
  <c r="S34" i="3" s="1"/>
  <c r="L34" i="3"/>
  <c r="R32" i="3"/>
  <c r="S32" i="3" s="1"/>
  <c r="L31" i="3"/>
  <c r="Q30" i="3"/>
  <c r="R30" i="3" s="1"/>
  <c r="L30" i="3"/>
  <c r="Q29" i="3"/>
  <c r="Q45" i="3" s="1"/>
  <c r="Q48" i="3" s="1"/>
  <c r="K29" i="3"/>
  <c r="L28" i="3"/>
  <c r="R25" i="3"/>
  <c r="S25" i="3" s="1"/>
  <c r="L25" i="3"/>
  <c r="D23" i="3"/>
  <c r="L22" i="3"/>
  <c r="R19" i="3"/>
  <c r="S19" i="3" s="1"/>
  <c r="R18" i="3"/>
  <c r="S18" i="3" s="1"/>
  <c r="R17" i="3"/>
  <c r="S17" i="3" s="1"/>
  <c r="Q15" i="3"/>
  <c r="R15" i="3" s="1"/>
  <c r="S15" i="3" s="1"/>
  <c r="R12" i="3"/>
  <c r="S12" i="3" s="1"/>
  <c r="Q11" i="3"/>
  <c r="R11" i="3" s="1"/>
  <c r="S11" i="3" s="1"/>
  <c r="L11" i="3"/>
  <c r="R10" i="3"/>
  <c r="S10" i="3" s="1"/>
  <c r="S26" i="3" s="1"/>
  <c r="Q10" i="3"/>
  <c r="H61" i="2"/>
  <c r="M43" i="2"/>
  <c r="I33" i="2"/>
  <c r="M32" i="2"/>
  <c r="I28" i="2"/>
  <c r="M26" i="2"/>
  <c r="J26" i="2"/>
  <c r="M25" i="2"/>
  <c r="J25" i="2"/>
  <c r="M24" i="2"/>
  <c r="J24" i="2"/>
  <c r="E23" i="2"/>
  <c r="I19" i="2"/>
  <c r="J18" i="2"/>
  <c r="M17" i="2"/>
  <c r="L17" i="2"/>
  <c r="K17" i="2"/>
  <c r="J17" i="2"/>
  <c r="G32" i="34" s="1"/>
  <c r="I17" i="2"/>
  <c r="I16" i="2"/>
  <c r="I15" i="2"/>
  <c r="M14" i="2"/>
  <c r="L14" i="2"/>
  <c r="K14" i="2"/>
  <c r="J14" i="2"/>
  <c r="G31" i="34" s="1"/>
  <c r="I14" i="2"/>
  <c r="I13" i="2"/>
  <c r="K12" i="2"/>
  <c r="E12" i="2"/>
  <c r="P10" i="2"/>
  <c r="U9" i="2"/>
  <c r="U12" i="2" s="1"/>
  <c r="P6" i="2"/>
  <c r="J6" i="2"/>
  <c r="U5" i="2"/>
  <c r="H370" i="14" l="1"/>
  <c r="N153" i="14"/>
  <c r="E19" i="32"/>
  <c r="H19" i="32" s="1"/>
  <c r="H16" i="32"/>
  <c r="E20" i="32"/>
  <c r="N389" i="14"/>
  <c r="H321" i="14"/>
  <c r="H24" i="32"/>
  <c r="E26" i="32"/>
  <c r="H26" i="32" s="1"/>
  <c r="H29" i="32" s="1"/>
  <c r="Y21" i="22"/>
  <c r="G41" i="34"/>
  <c r="L165" i="14"/>
  <c r="L167" i="14" s="1"/>
  <c r="G35" i="34"/>
  <c r="AD14" i="32"/>
  <c r="G42" i="34"/>
  <c r="L213" i="14"/>
  <c r="Y15" i="32"/>
  <c r="F153" i="14"/>
  <c r="F167" i="14" s="1"/>
  <c r="L390" i="14"/>
  <c r="L394" i="14" s="1"/>
  <c r="AC15" i="32"/>
  <c r="AD15" i="32" s="1"/>
  <c r="AD16" i="32" s="1"/>
  <c r="AF20" i="32" s="1"/>
  <c r="AF24" i="32" s="1"/>
  <c r="R6" i="9"/>
  <c r="E14" i="16"/>
  <c r="F36" i="5"/>
  <c r="J79" i="18"/>
  <c r="J123" i="18" s="1"/>
  <c r="J83" i="18"/>
  <c r="P102" i="18"/>
  <c r="J51" i="18"/>
  <c r="J89" i="18"/>
  <c r="J63" i="18"/>
  <c r="J35" i="18"/>
  <c r="P93" i="18"/>
  <c r="P116" i="18"/>
  <c r="P120" i="18"/>
  <c r="G399" i="8"/>
  <c r="G401" i="8" s="1"/>
  <c r="M22" i="3" s="1"/>
  <c r="P39" i="18"/>
  <c r="P54" i="18"/>
  <c r="U18" i="52"/>
  <c r="AL5" i="7"/>
  <c r="AN9" i="7" s="1"/>
  <c r="Y11" i="7" s="1"/>
  <c r="N428" i="8"/>
  <c r="F908" i="8"/>
  <c r="F911" i="8" s="1"/>
  <c r="I905" i="8"/>
  <c r="I908" i="8" s="1"/>
  <c r="I911" i="8" s="1"/>
  <c r="E27" i="2"/>
  <c r="A458" i="8"/>
  <c r="A434" i="8"/>
  <c r="G241" i="8"/>
  <c r="O179" i="8" s="1"/>
  <c r="L783" i="8"/>
  <c r="M783" i="8" s="1"/>
  <c r="G177" i="8"/>
  <c r="G179" i="8" s="1"/>
  <c r="K179" i="8"/>
  <c r="R7" i="32"/>
  <c r="L55" i="3"/>
  <c r="G596" i="8"/>
  <c r="R29" i="3"/>
  <c r="T30" i="3" s="1"/>
  <c r="F34" i="6"/>
  <c r="A3" i="32"/>
  <c r="I72" i="7"/>
  <c r="G58" i="7"/>
  <c r="B63" i="7"/>
  <c r="B64" i="34"/>
  <c r="F46" i="6"/>
  <c r="R12" i="34"/>
  <c r="R10" i="7"/>
  <c r="S30" i="3"/>
  <c r="F62" i="32"/>
  <c r="F60" i="32" s="1"/>
  <c r="O57" i="32"/>
  <c r="G589" i="8"/>
  <c r="J91" i="12"/>
  <c r="G209" i="8"/>
  <c r="AL7" i="34"/>
  <c r="AN11" i="34" s="1"/>
  <c r="Y13" i="34" s="1"/>
  <c r="J427" i="8"/>
  <c r="J454" i="8"/>
  <c r="N340" i="14"/>
  <c r="F93" i="14"/>
  <c r="N431" i="14"/>
  <c r="N434" i="14" s="1"/>
  <c r="G144" i="8"/>
  <c r="L72" i="18" s="1"/>
  <c r="N424" i="8"/>
  <c r="N425" i="8" s="1"/>
  <c r="N426" i="8" s="1"/>
  <c r="P424" i="8" s="1"/>
  <c r="G120" i="8"/>
  <c r="G413" i="8"/>
  <c r="J437" i="8"/>
  <c r="J426" i="8"/>
  <c r="G432" i="8"/>
  <c r="J422" i="8"/>
  <c r="L177" i="8"/>
  <c r="M176" i="8" s="1"/>
  <c r="M177" i="8"/>
  <c r="AL7" i="22"/>
  <c r="AN11" i="22" s="1"/>
  <c r="Y13" i="22" s="1"/>
  <c r="F899" i="8"/>
  <c r="I895" i="8"/>
  <c r="I899" i="8" s="1"/>
  <c r="P1211" i="14"/>
  <c r="R29" i="32" l="1"/>
  <c r="O1320" i="14"/>
  <c r="N167" i="14"/>
  <c r="H379" i="14"/>
  <c r="N370" i="14"/>
  <c r="N379" i="14" s="1"/>
  <c r="N321" i="14"/>
  <c r="G53" i="34"/>
  <c r="E38" i="32"/>
  <c r="H20" i="32"/>
  <c r="N390" i="14"/>
  <c r="N394" i="14" s="1"/>
  <c r="H322" i="14"/>
  <c r="N322" i="14" s="1"/>
  <c r="E15" i="16"/>
  <c r="G14" i="16"/>
  <c r="A448" i="8"/>
  <c r="D54" i="3"/>
  <c r="J136" i="8"/>
  <c r="L176" i="8"/>
  <c r="G145" i="8"/>
  <c r="J139" i="8" s="1"/>
  <c r="L48" i="18"/>
  <c r="L179" i="8"/>
  <c r="L212" i="8" s="1"/>
  <c r="L60" i="18"/>
  <c r="L109" i="18"/>
  <c r="L82" i="18"/>
  <c r="L83" i="18" s="1"/>
  <c r="K175" i="8"/>
  <c r="A465" i="8"/>
  <c r="E34" i="2"/>
  <c r="A477" i="8"/>
  <c r="R45" i="3"/>
  <c r="R48" i="3" s="1"/>
  <c r="S29" i="3"/>
  <c r="S45" i="3" s="1"/>
  <c r="S48" i="3" s="1"/>
  <c r="J11" i="22"/>
  <c r="L39" i="18"/>
  <c r="L71" i="18"/>
  <c r="L73" i="18" s="1"/>
  <c r="L103" i="18"/>
  <c r="L88" i="18"/>
  <c r="L40" i="18"/>
  <c r="L111" i="18"/>
  <c r="L87" i="18"/>
  <c r="L29" i="18"/>
  <c r="L92" i="18"/>
  <c r="L101" i="18"/>
  <c r="L23" i="18"/>
  <c r="L28" i="18"/>
  <c r="L54" i="18"/>
  <c r="L38" i="18"/>
  <c r="L104" i="18"/>
  <c r="L78" i="18"/>
  <c r="L55" i="18"/>
  <c r="L116" i="18"/>
  <c r="L117" i="18" s="1"/>
  <c r="L46" i="18"/>
  <c r="L31" i="18"/>
  <c r="L45" i="18"/>
  <c r="L77" i="18"/>
  <c r="L120" i="18"/>
  <c r="L121" i="18" s="1"/>
  <c r="L62" i="18"/>
  <c r="L95" i="18"/>
  <c r="L17" i="18"/>
  <c r="L47" i="18"/>
  <c r="L86" i="18"/>
  <c r="L76" i="18"/>
  <c r="L102" i="18"/>
  <c r="L22" i="18"/>
  <c r="L25" i="18" s="1"/>
  <c r="L33" i="18"/>
  <c r="L49" i="18"/>
  <c r="L93" i="18"/>
  <c r="L30" i="18"/>
  <c r="L66" i="18"/>
  <c r="L67" i="18" s="1"/>
  <c r="L100" i="18"/>
  <c r="L18" i="18"/>
  <c r="L61" i="18"/>
  <c r="L94" i="18"/>
  <c r="L110" i="18"/>
  <c r="L32" i="18"/>
  <c r="Q1202" i="14"/>
  <c r="Q1208" i="14"/>
  <c r="Q1206" i="14"/>
  <c r="Q1204" i="14"/>
  <c r="Q1210" i="14"/>
  <c r="Q1207" i="14"/>
  <c r="Q1201" i="14"/>
  <c r="Q1209" i="14"/>
  <c r="Q1203" i="14"/>
  <c r="Q1205" i="14"/>
  <c r="Q1200" i="14"/>
  <c r="Q1211" i="14" s="1"/>
  <c r="H339" i="14"/>
  <c r="F79" i="14"/>
  <c r="L466" i="14"/>
  <c r="L468" i="14" s="1"/>
  <c r="J64" i="34" s="1"/>
  <c r="F76" i="22"/>
  <c r="G71" i="7"/>
  <c r="L207" i="14"/>
  <c r="L66" i="22"/>
  <c r="L11" i="2"/>
  <c r="J11" i="2"/>
  <c r="P11" i="2"/>
  <c r="N63" i="22"/>
  <c r="N65" i="22" s="1"/>
  <c r="L358" i="14"/>
  <c r="N358" i="14" s="1"/>
  <c r="J59" i="22"/>
  <c r="K58" i="7"/>
  <c r="K59" i="34"/>
  <c r="M27" i="2"/>
  <c r="J27" i="2"/>
  <c r="G39" i="7"/>
  <c r="J23" i="2"/>
  <c r="I24" i="2"/>
  <c r="M23" i="2"/>
  <c r="L105" i="14"/>
  <c r="K212" i="8"/>
  <c r="O177" i="8"/>
  <c r="O176" i="8" s="1"/>
  <c r="P1213" i="14"/>
  <c r="H326" i="14" l="1"/>
  <c r="G55" i="34"/>
  <c r="N326" i="14"/>
  <c r="G52" i="34"/>
  <c r="H38" i="32"/>
  <c r="L113" i="18"/>
  <c r="J141" i="8"/>
  <c r="J140" i="8"/>
  <c r="L42" i="18"/>
  <c r="K26" i="3"/>
  <c r="L26" i="3" s="1"/>
  <c r="M26" i="3" s="1"/>
  <c r="L97" i="18"/>
  <c r="L63" i="18"/>
  <c r="L20" i="18"/>
  <c r="L79" i="18"/>
  <c r="A498" i="8"/>
  <c r="D59" i="3"/>
  <c r="M26" i="22"/>
  <c r="L51" i="18"/>
  <c r="P9" i="2"/>
  <c r="L106" i="18"/>
  <c r="L89" i="18"/>
  <c r="L57" i="18"/>
  <c r="L35" i="18"/>
  <c r="Q50" i="10"/>
  <c r="L18" i="10"/>
  <c r="O93" i="14"/>
  <c r="N19" i="45"/>
  <c r="L12" i="2"/>
  <c r="J12" i="2"/>
  <c r="L25" i="10"/>
  <c r="M12" i="2"/>
  <c r="P7" i="2" s="1"/>
  <c r="L16" i="10"/>
  <c r="L15" i="10"/>
  <c r="L208" i="14"/>
  <c r="L216" i="14" s="1"/>
  <c r="L21" i="10"/>
  <c r="L16" i="22"/>
  <c r="L17" i="22" s="1"/>
  <c r="J17" i="22" s="1"/>
  <c r="J7" i="22" s="1"/>
  <c r="M17" i="34"/>
  <c r="M19" i="34" s="1"/>
  <c r="K19" i="34" s="1"/>
  <c r="K7" i="34" s="1"/>
  <c r="M15" i="7"/>
  <c r="M17" i="7" s="1"/>
  <c r="K17" i="7" s="1"/>
  <c r="K5" i="7" s="1"/>
  <c r="G29" i="7" s="1"/>
  <c r="G36" i="7" s="1"/>
  <c r="G44" i="34"/>
  <c r="J62" i="22"/>
  <c r="J61" i="22"/>
  <c r="L61" i="22" s="1"/>
  <c r="L55" i="22" s="1"/>
  <c r="N79" i="14"/>
  <c r="F100" i="14"/>
  <c r="F112" i="14" s="1"/>
  <c r="K60" i="7"/>
  <c r="M60" i="7" s="1"/>
  <c r="M54" i="7" s="1"/>
  <c r="G43" i="7" s="1"/>
  <c r="G44" i="7" s="1"/>
  <c r="K61" i="7"/>
  <c r="G40" i="34"/>
  <c r="G45" i="34" s="1"/>
  <c r="H346" i="14"/>
  <c r="N339" i="14"/>
  <c r="N346" i="14" s="1"/>
  <c r="N105" i="14"/>
  <c r="N110" i="14" s="1"/>
  <c r="O1307" i="14" s="1"/>
  <c r="L110" i="14"/>
  <c r="L112" i="14" s="1"/>
  <c r="L355" i="14"/>
  <c r="L28" i="2"/>
  <c r="J28" i="2"/>
  <c r="K62" i="34"/>
  <c r="K61" i="34"/>
  <c r="M61" i="34" s="1"/>
  <c r="M55" i="34" s="1"/>
  <c r="P38" i="32" l="1"/>
  <c r="P36" i="32"/>
  <c r="N25" i="45"/>
  <c r="N22" i="45"/>
  <c r="N23" i="45"/>
  <c r="N21" i="45"/>
  <c r="N24" i="45"/>
  <c r="Q10" i="2"/>
  <c r="P12" i="2" s="1"/>
  <c r="D82" i="3"/>
  <c r="A503" i="8"/>
  <c r="A510" i="8" s="1"/>
  <c r="A913" i="8" s="1"/>
  <c r="A936" i="8" s="1"/>
  <c r="A946" i="8" s="1"/>
  <c r="G46" i="7"/>
  <c r="G56" i="7" s="1"/>
  <c r="G60" i="7" s="1"/>
  <c r="G72" i="7" s="1"/>
  <c r="J19" i="2"/>
  <c r="J20" i="2" s="1"/>
  <c r="J21" i="2" s="1"/>
  <c r="M33" i="34"/>
  <c r="L34" i="22"/>
  <c r="M34" i="22" s="1"/>
  <c r="G30" i="34"/>
  <c r="N18" i="45"/>
  <c r="N11" i="45"/>
  <c r="N8" i="45"/>
  <c r="N14" i="45"/>
  <c r="N12" i="45"/>
  <c r="N20" i="45"/>
  <c r="N9" i="45"/>
  <c r="N29" i="45"/>
  <c r="N10" i="45"/>
  <c r="N13" i="45"/>
  <c r="N15" i="45"/>
  <c r="N355" i="14"/>
  <c r="N360" i="14" s="1"/>
  <c r="H305" i="14"/>
  <c r="L360" i="14"/>
  <c r="R11" i="22"/>
  <c r="R12" i="22" s="1"/>
  <c r="K39" i="44"/>
  <c r="K38" i="44"/>
  <c r="K18" i="10"/>
  <c r="K16" i="10"/>
  <c r="K15" i="10"/>
  <c r="K120" i="18"/>
  <c r="K121" i="18" s="1"/>
  <c r="K116" i="18"/>
  <c r="K117" i="18" s="1"/>
  <c r="K111" i="18"/>
  <c r="K102" i="18"/>
  <c r="K93" i="18"/>
  <c r="K77" i="18"/>
  <c r="K60" i="18"/>
  <c r="K55" i="18"/>
  <c r="K46" i="18"/>
  <c r="K33" i="18"/>
  <c r="K32" i="18"/>
  <c r="K28" i="18"/>
  <c r="K22" i="18"/>
  <c r="K25" i="18" s="1"/>
  <c r="J39" i="44"/>
  <c r="J38" i="44"/>
  <c r="M19" i="45"/>
  <c r="K103" i="18"/>
  <c r="K94" i="18"/>
  <c r="K86" i="18"/>
  <c r="K82" i="18"/>
  <c r="K83" i="18" s="1"/>
  <c r="K78" i="18"/>
  <c r="K61" i="18"/>
  <c r="K47" i="18"/>
  <c r="K29" i="18"/>
  <c r="K23" i="18"/>
  <c r="K18" i="18"/>
  <c r="K17" i="18"/>
  <c r="K30" i="18"/>
  <c r="O30" i="2"/>
  <c r="O14" i="10"/>
  <c r="K109" i="18"/>
  <c r="K101" i="18"/>
  <c r="K95" i="18"/>
  <c r="K87" i="18"/>
  <c r="K71" i="18"/>
  <c r="K62" i="18"/>
  <c r="K54" i="18"/>
  <c r="K49" i="18"/>
  <c r="K45" i="18"/>
  <c r="K40" i="18"/>
  <c r="K39" i="18"/>
  <c r="V38" i="32"/>
  <c r="K46" i="6"/>
  <c r="L46" i="6" s="1"/>
  <c r="Q49" i="10"/>
  <c r="K104" i="18"/>
  <c r="K92" i="18"/>
  <c r="K88" i="18"/>
  <c r="K66" i="18"/>
  <c r="K67" i="18" s="1"/>
  <c r="K48" i="18"/>
  <c r="K38" i="18"/>
  <c r="K31" i="18"/>
  <c r="K110" i="18"/>
  <c r="K100" i="18"/>
  <c r="K76" i="18"/>
  <c r="K72" i="18"/>
  <c r="N30" i="2"/>
  <c r="P30" i="2" s="1"/>
  <c r="O79" i="14"/>
  <c r="N100" i="14"/>
  <c r="M25" i="45" l="1"/>
  <c r="M24" i="45"/>
  <c r="M22" i="45"/>
  <c r="M23" i="45"/>
  <c r="M21" i="45"/>
  <c r="K79" i="18"/>
  <c r="M18" i="39"/>
  <c r="M16" i="39"/>
  <c r="K57" i="18"/>
  <c r="A529" i="8"/>
  <c r="A582" i="8" s="1"/>
  <c r="A631" i="8" s="1"/>
  <c r="K20" i="18"/>
  <c r="J34" i="22"/>
  <c r="M28" i="22"/>
  <c r="K113" i="18"/>
  <c r="K33" i="34"/>
  <c r="L33" i="34" s="1"/>
  <c r="N33" i="34" s="1"/>
  <c r="G37" i="34"/>
  <c r="G47" i="34" s="1"/>
  <c r="G57" i="34" s="1"/>
  <c r="G61" i="34" s="1"/>
  <c r="G73" i="34" s="1"/>
  <c r="N28" i="34"/>
  <c r="K97" i="18"/>
  <c r="N112" i="14"/>
  <c r="O1292" i="14"/>
  <c r="K73" i="18"/>
  <c r="K25" i="10"/>
  <c r="K21" i="10"/>
  <c r="M37" i="39"/>
  <c r="M32" i="39"/>
  <c r="M20" i="39"/>
  <c r="M13" i="39"/>
  <c r="F54" i="6"/>
  <c r="H68" i="32"/>
  <c r="K42" i="18"/>
  <c r="K51" i="18"/>
  <c r="K106" i="18"/>
  <c r="Q30" i="2"/>
  <c r="M15" i="45"/>
  <c r="M14" i="45"/>
  <c r="M13" i="45"/>
  <c r="M12" i="45"/>
  <c r="M11" i="45"/>
  <c r="M10" i="45"/>
  <c r="M9" i="45"/>
  <c r="M8" i="45"/>
  <c r="M29" i="45"/>
  <c r="M20" i="45"/>
  <c r="M18" i="45"/>
  <c r="K35" i="18"/>
  <c r="H311" i="14"/>
  <c r="N305" i="14"/>
  <c r="N311" i="14" s="1"/>
  <c r="K89" i="18"/>
  <c r="K63" i="18"/>
  <c r="A954" i="8" l="1"/>
  <c r="A948" i="8"/>
  <c r="A950" i="8" s="1"/>
  <c r="F77" i="22"/>
  <c r="J64" i="22"/>
  <c r="K64" i="34"/>
  <c r="K66" i="34" s="1"/>
  <c r="L67" i="22"/>
  <c r="T41" i="19"/>
  <c r="I33" i="12" l="1"/>
  <c r="K33" i="2"/>
  <c r="I39" i="2"/>
  <c r="K32" i="2"/>
  <c r="P374" i="1"/>
  <c r="J46" i="2"/>
  <c r="F61" i="2"/>
  <c r="I41" i="2"/>
</calcChain>
</file>

<file path=xl/comments1.xml><?xml version="1.0" encoding="utf-8"?>
<comments xmlns="http://schemas.openxmlformats.org/spreadsheetml/2006/main">
  <authors>
    <author>Dhedhi, Abeer (PK - Karachi)</author>
  </authors>
  <commentList>
    <comment ref="U1175" authorId="0" shapeId="0">
      <text>
        <r>
          <rPr>
            <b/>
            <sz val="9"/>
            <color indexed="81"/>
            <rFont val="Tahoma"/>
            <family val="2"/>
          </rPr>
          <t>Dhedhi, Abeer (PK - Karachi):</t>
        </r>
        <r>
          <rPr>
            <sz val="9"/>
            <color indexed="81"/>
            <rFont val="Tahoma"/>
            <family val="2"/>
          </rPr>
          <t xml:space="preserve">
jcr</t>
        </r>
      </text>
    </comment>
  </commentList>
</comments>
</file>

<file path=xl/comments2.xml><?xml version="1.0" encoding="utf-8"?>
<comments xmlns="http://schemas.openxmlformats.org/spreadsheetml/2006/main">
  <authors>
    <author>ali.sher</author>
  </authors>
  <commentList>
    <comment ref="F5" authorId="0" shapeId="0">
      <text>
        <r>
          <rPr>
            <b/>
            <sz val="9"/>
            <color indexed="81"/>
            <rFont val="Tahoma"/>
            <family val="2"/>
          </rPr>
          <t>ali.sher:</t>
        </r>
        <r>
          <rPr>
            <sz val="9"/>
            <color indexed="81"/>
            <rFont val="Tahoma"/>
            <family val="2"/>
          </rPr>
          <t xml:space="preserve">
PRINCIPAL / QUANTITY
</t>
        </r>
      </text>
    </comment>
    <comment ref="H5" authorId="0" shapeId="0">
      <text>
        <r>
          <rPr>
            <b/>
            <sz val="9"/>
            <color indexed="81"/>
            <rFont val="Tahoma"/>
            <family val="2"/>
          </rPr>
          <t>ali.sher:</t>
        </r>
        <r>
          <rPr>
            <sz val="9"/>
            <color indexed="81"/>
            <rFont val="Tahoma"/>
            <family val="2"/>
          </rPr>
          <t xml:space="preserve">
(CARRYING VALUE / FACE VALUE) * 100</t>
        </r>
      </text>
    </comment>
    <comment ref="D9" authorId="0" shapeId="0">
      <text>
        <r>
          <rPr>
            <b/>
            <sz val="9"/>
            <color indexed="81"/>
            <rFont val="Tahoma"/>
            <family val="2"/>
          </rPr>
          <t>ali.sher:</t>
        </r>
        <r>
          <rPr>
            <sz val="9"/>
            <color indexed="81"/>
            <rFont val="Tahoma"/>
            <family val="2"/>
          </rPr>
          <t xml:space="preserve">
DISCRETION
</t>
        </r>
      </text>
    </comment>
  </commentList>
</comments>
</file>

<file path=xl/sharedStrings.xml><?xml version="1.0" encoding="utf-8"?>
<sst xmlns="http://schemas.openxmlformats.org/spreadsheetml/2006/main" count="5692" uniqueCount="2565">
  <si>
    <t>% Diff &gt;</t>
  </si>
  <si>
    <t>Difference</t>
  </si>
  <si>
    <t>Company</t>
  </si>
  <si>
    <t>Target Grouping</t>
  </si>
  <si>
    <t>#</t>
  </si>
  <si>
    <t>Name</t>
  </si>
  <si>
    <t>Preliminary</t>
  </si>
  <si>
    <t>t/m</t>
  </si>
  <si>
    <t>AJE</t>
  </si>
  <si>
    <t>Adjusted</t>
  </si>
  <si>
    <t>RJE</t>
  </si>
  <si>
    <t>DALACCT.2471701828300000065DELIM_7379868200999998675</t>
  </si>
  <si>
    <t>BANK BALANCES - ALLIED BANK LIMITED - FOREIGN EXCHANGE BRANCH</t>
  </si>
  <si>
    <t>DALACCT._7379868200999998575DELIM_7379868200999998675</t>
  </si>
  <si>
    <t>BANK BALANCES - BANK AL FALAH LIMITED  - KSE BRANCH</t>
  </si>
  <si>
    <t>DALACCT._7379868200999998574DELIM_7379868200999998675</t>
  </si>
  <si>
    <t>BANK BALANCES - FAYSAL BANK LIMITED - GULSHAN E IQBAL BRANCH</t>
  </si>
  <si>
    <t>DALACCT._7379868200999998573DELIM_7379868200999998675</t>
  </si>
  <si>
    <t>BANK BALANCES - HABIB METROPOLITAN BANK LIMITED - KARACHI STOCK EXCHANGE BRANCH</t>
  </si>
  <si>
    <t>DALACCT._7379868200999998572DELIM_7379868200999998675</t>
  </si>
  <si>
    <t>BANK BALANCES - HABIB METRO BANK - MAIN BRANCH</t>
  </si>
  <si>
    <t>DALACCT._7379868200999998571DELIM_7379868200999998675</t>
  </si>
  <si>
    <t>BANK BALANCES - MCB BANK LIMITED - UNI TOWER BRANCH</t>
  </si>
  <si>
    <t>DALACCT._7379868200999998479DELIM_7379868200999998675</t>
  </si>
  <si>
    <t>BANK BALANCES - MCB BANK LIMITED - GLOBAL TRANSACTION - SHAHEEN COMPLEX BRANCH</t>
  </si>
  <si>
    <t>DALACCT._7379868200999998570DELIM_7379868200999998675</t>
  </si>
  <si>
    <t>BANK BALANCES - NIB BANK LIMITED - CLOTH MARKET BRANCH</t>
  </si>
  <si>
    <t>DALACCT._7379868200999998481DELIM_7379868200999998675</t>
  </si>
  <si>
    <t>BANK BALANCES - UNITED BANK LIMITED - CORPORATE BRANCH</t>
  </si>
  <si>
    <t>DALACCT._7379868200999998480DELIM_7379868200999998675</t>
  </si>
  <si>
    <t>Bank Balances - Mcb Bank Limited - Shaheen Complex Branch</t>
  </si>
  <si>
    <t>DALACCT._7379868200999998440DELIM_7379868200999998675</t>
  </si>
  <si>
    <t>Bank Balances - Bank Al Habib Limited - Main Branch</t>
  </si>
  <si>
    <t>DALACCT.2471701828300000066DELIM_7379868200999998675</t>
  </si>
  <si>
    <t>Bank Balances - Zarai Taraqiati Bank Limited - Shafi Court Branch</t>
  </si>
  <si>
    <t>DALACCT.2471701828300000067DELIM_7379868200999998675</t>
  </si>
  <si>
    <t>Bank Balances - Js Bank Limited - Ocean Tower, Clifton Branch</t>
  </si>
  <si>
    <t>DALACCT.2471701828300000068DELIM_7379868200999998675</t>
  </si>
  <si>
    <t>Bank Balances - NRSP Microfinance Bank Limited</t>
  </si>
  <si>
    <t>DALACCT.2471701828300000069DELIM_7379868200999998675</t>
  </si>
  <si>
    <t>Bank Balances - Mobilink Microfinance Bank Limited</t>
  </si>
  <si>
    <t>DALACCT.2471701828300000070DELIM_7379868200999998675</t>
  </si>
  <si>
    <t>Bank Balances - U Microfinance Bank Limited</t>
  </si>
  <si>
    <t>DALACCT.2471701828300000071DELIM_7379868200999998675</t>
  </si>
  <si>
    <t>Bank Balances - Khushali Microfinance Bank Limited</t>
  </si>
  <si>
    <t>DALACCT.2471701828300000072DELIM_7379868200999998675</t>
  </si>
  <si>
    <t>Bank Balances - Tameer Microfinance Bank</t>
  </si>
  <si>
    <t>DALACCT.2471701828300000073DELIM_7379868200999998675</t>
  </si>
  <si>
    <t>Bank Balances - Finca Micro Finance Bank (Liaquatabad Branch)</t>
  </si>
  <si>
    <t>DALACCT.2471701828300000074DELIM_7379868200999998675</t>
  </si>
  <si>
    <t>Bank Balances - Habib Bank Limited - Kse Branch</t>
  </si>
  <si>
    <t>DALGROUP._7379868200999998675</t>
  </si>
  <si>
    <t>TB Total - Bank Balances</t>
  </si>
  <si>
    <t>DALBLANK._7379868200999998675</t>
  </si>
  <si>
    <t>DALACCT.2471701828300000079DELIM_7379868200999998674</t>
  </si>
  <si>
    <t>RECEIVABLE AGAINST SALE  OF EQUITY SECURITIES</t>
  </si>
  <si>
    <t>DALACCT._7379868200999998459DELIM_7379868200999998674</t>
  </si>
  <si>
    <t>RECEIVABLE AGAINST SALE OF MONEY MARKET INVESTMENTS</t>
  </si>
  <si>
    <t>DALACCT.2477818093500000718DELIM_7379868200999998674</t>
  </si>
  <si>
    <t>RECEIVABLE AGAINST SALE OF INVESTMENTS</t>
  </si>
  <si>
    <t>DALGROUP._7379868200999998674</t>
  </si>
  <si>
    <t>TB Total - Receivable against sale of investment</t>
  </si>
  <si>
    <t>DALBLANK._7379868200999998674</t>
  </si>
  <si>
    <t>DALACCT.2471701828300000075DELIM2471701828300000134</t>
  </si>
  <si>
    <t>5120.1A</t>
  </si>
  <si>
    <t>RECEIVABLE AGAINST MARGIN TRADING SYSTEM TRANSACTIONS</t>
  </si>
  <si>
    <t>DALGROUP.2471701828300000134</t>
  </si>
  <si>
    <t>TB Total - Receivable against Margin Trading System Transactions</t>
  </si>
  <si>
    <t>DALBLANK.2471701828300000134</t>
  </si>
  <si>
    <t>DALACCT._7379868200999998563DELIM_7379868200999998673</t>
  </si>
  <si>
    <t>INVESTMENTS IN TFC FACE VALUE HFT</t>
  </si>
  <si>
    <t>DALACCT._7379868200999998562DELIM_7379868200999998673</t>
  </si>
  <si>
    <t>APPRECIATION / DIMINUTION - TFC - HFT</t>
  </si>
  <si>
    <t>DALACCT._7379868200999998561DELIM_7379868200999998673</t>
  </si>
  <si>
    <t>PREMIUM / DISCOUNT ON TFC - HFT</t>
  </si>
  <si>
    <t>DALACCT._7379868200999998560DELIM_7379868200999998673</t>
  </si>
  <si>
    <t>Provision Against Non Performing Security  Pace Pakistan Limited Tfc  Hft</t>
  </si>
  <si>
    <t>DALACCT._7379868200999998556DELIM_7379868200999998673</t>
  </si>
  <si>
    <t>RECEIVABLE AGAINST REDEMPTION OF DEBT SECURITIES  PRINCIPAL.</t>
  </si>
  <si>
    <t>DALACCT._7379868200999998477DELIM_7379868200999998673</t>
  </si>
  <si>
    <t>Provision Against Red Of Debt Sec - Principal (Pace Tfc)</t>
  </si>
  <si>
    <t>DALACCT._7379868200999998466DELIM_7379868200999998673</t>
  </si>
  <si>
    <t>Provision Against Red Of Debt Sec - Principal (Eden Sukuk)</t>
  </si>
  <si>
    <t>DALACCT._7379868200999998465DELIM_7379868200999998673</t>
  </si>
  <si>
    <t>Provision Against Red Of Debt Sec - Principal (Pel Sukuk)</t>
  </si>
  <si>
    <t>ADVANCES AGAINST IPO SUBSCRIPTION DEBT SECURITY</t>
  </si>
  <si>
    <t>DALGROUP._7379868200999998673</t>
  </si>
  <si>
    <t>TB Total - Term Finance Certificates - HFT</t>
  </si>
  <si>
    <t>DALBLANK._7379868200999998673</t>
  </si>
  <si>
    <t>DALGROUP.2299768474900015826</t>
  </si>
  <si>
    <t>5130.1A</t>
  </si>
  <si>
    <t>TB Total - Term Finance Certificates - AFS</t>
  </si>
  <si>
    <t>DALBLANK.2299768474900015826</t>
  </si>
  <si>
    <t>DALACCT._7379868200999998569DELIM_7379868200999998671</t>
  </si>
  <si>
    <t>INVESTMENT IN TREASURY BILLS  FACE VALUE  HFT</t>
  </si>
  <si>
    <t>DALACCT._7379868200999998568DELIM_7379868200999998671</t>
  </si>
  <si>
    <t>TREASURY BILLS  APPRECIATION / DIMINUTION  HFT</t>
  </si>
  <si>
    <t>DALACCT._7379868200999998567DELIM_7379868200999998671</t>
  </si>
  <si>
    <t>TREASURY BILLS  DISCOUNT / AMORTISATION  HFT</t>
  </si>
  <si>
    <t>DALACCT._7379868200999998566DELIM_7379868200999998671</t>
  </si>
  <si>
    <t>INVESTMENT IN PIB  FACE VALUE  HFT</t>
  </si>
  <si>
    <t>DALACCT._7379868200999998565DELIM_7379868200999998671</t>
  </si>
  <si>
    <t>PAKISTAN INVESTMENT BONDS  APPRECIATION / DIMINUTION  HFT</t>
  </si>
  <si>
    <t>DALACCT._7379868200999998564DELIM_7379868200999998671</t>
  </si>
  <si>
    <t>PAKISTAN INVESTMENT BONDS  DISCOUNT / AMORTISATION  HFT</t>
  </si>
  <si>
    <t>DALGROUP._7379868200999998671</t>
  </si>
  <si>
    <t>TB Total - Government securities - HFT</t>
  </si>
  <si>
    <t>DALBLANK._7379868200999998671</t>
  </si>
  <si>
    <t>DALACCT._7379868200999998559DELIM2299768474900015823</t>
  </si>
  <si>
    <t>5130.3A</t>
  </si>
  <si>
    <t>INVESTMENT IN PAKISTAN INVESTMENT BONDS  FACE VALUE  AFS</t>
  </si>
  <si>
    <t>DALACCT._7379868200999998558DELIM2299768474900015823</t>
  </si>
  <si>
    <t>PAKISTAN INVESTMENT BONDS  APPRECIATION / DIMINUTION  AFS</t>
  </si>
  <si>
    <t>DALACCT._7379868200999998557DELIM2299768474900015823</t>
  </si>
  <si>
    <t>PAKISTAN INVESTMENT BONDS  DISCOUNT / AMORTISATION  AFS</t>
  </si>
  <si>
    <t>DALGROUP.2299768474900015823</t>
  </si>
  <si>
    <t>TB Total - Government securities - AFS</t>
  </si>
  <si>
    <t>DALBLANK.2299768474900015823</t>
  </si>
  <si>
    <t>DALACCT.2471701828300000076DELIM_7379868200999998582</t>
  </si>
  <si>
    <t>INVESTMENT IN EQUITY TRANSACTION  HFT</t>
  </si>
  <si>
    <t>DALACCT.2471701828300000077DELIM_7379868200999998582</t>
  </si>
  <si>
    <t>EQUITY TRANSACTION  APPRECIATION / DIMINUTION  HFT</t>
  </si>
  <si>
    <t>DALGROUP._7379868200999998582</t>
  </si>
  <si>
    <t>TB Total - Investment in Equity Securities - HFT</t>
  </si>
  <si>
    <t>DALBLANK._7379868200999998582</t>
  </si>
  <si>
    <t>DALACCT.2471701828300000078DELIM2471701828300000138</t>
  </si>
  <si>
    <t>INVESTMENT IN COMMERCIAL PAPER  FACE VALUE  HFT</t>
  </si>
  <si>
    <t>DALGROUP.2471701828300000138</t>
  </si>
  <si>
    <t>TB Total - Commercial Papers - HFT</t>
  </si>
  <si>
    <t>DALBLANK.2471701828300000138</t>
  </si>
  <si>
    <t>DALACCT._7379868200999998478DELIM_7379868200999998670</t>
  </si>
  <si>
    <t>INVESTMENT IN TERM DEPOSIT RECEIPTS</t>
  </si>
  <si>
    <t>DALGROUP._7379868200999998670</t>
  </si>
  <si>
    <t>TB Total - Investment in TDR - AFS</t>
  </si>
  <si>
    <t>DALBLANK._7379868200999998670</t>
  </si>
  <si>
    <t>DALACCT.2477818093500000093DELIM_7379868200999998669</t>
  </si>
  <si>
    <t>FAIR VALUE OF DERIVATIVE OF FUTURE TRANSACTION</t>
  </si>
  <si>
    <t>DALGROUP._7379868200999998669</t>
  </si>
  <si>
    <t>TB Total - Investment in Futures</t>
  </si>
  <si>
    <t>DALBLANK._7379868200999998669</t>
  </si>
  <si>
    <t>DALACCT.2471701828300000087DELIM_7379868200999998668</t>
  </si>
  <si>
    <t>DIVIDEND RECEIVABLES  EQUITY INVESTMENTS</t>
  </si>
  <si>
    <t>DALGROUP._7379868200999998668</t>
  </si>
  <si>
    <t>TB Total - Dividend receivable on equity securities</t>
  </si>
  <si>
    <t>DALBLANK._7379868200999998668</t>
  </si>
  <si>
    <t>DALACCT.2471701828300000080DELIM2299768474900015835</t>
  </si>
  <si>
    <t>PROFIT RECEIVABLE - ALLIED BANK LIMITED - FOREIGN EXCHANGE BRANCH</t>
  </si>
  <si>
    <t>DALACCT._7379868200999998458DELIM2299768474900015835</t>
  </si>
  <si>
    <t>PROFIT RECEIVABLE - BANK AL FALAH LIMITED  - KSE BRANCH</t>
  </si>
  <si>
    <t>DALACCT._7379868200999998483DELIM2299768474900015835</t>
  </si>
  <si>
    <t>PROFIT RECEIVABLE - FAYSAL BANK LIMITED - GULSHAN E IQBAL BRANCH</t>
  </si>
  <si>
    <t>DALACCT._7379868200999998553DELIM2299768474900015835</t>
  </si>
  <si>
    <t>PROFIT RECEIVABLE - HABIB METROPOLITAN BANK LIMITED - KARACHI STOCK EXCHANGE BRANCH</t>
  </si>
  <si>
    <t>DALACCT._7379868200999998552DELIM2299768474900015835</t>
  </si>
  <si>
    <t>PROFIT RECEIVABLE - HABIB METROPOLITAN BANK LIMITED - MAIN BRANCH</t>
  </si>
  <si>
    <t>DALACCT._7379868200999998551DELIM2299768474900015835</t>
  </si>
  <si>
    <t>PROFIT RECEIVABLE - MCB BANK LIMITED - UNI TOWER BRANCH</t>
  </si>
  <si>
    <t>DALACCT._7379868200999998550DELIM2299768474900015835</t>
  </si>
  <si>
    <t>PROFIT RECEIVABLE - NIB BANK LIMITED - CLOTH MARKET BRANCH</t>
  </si>
  <si>
    <t>DALACCT.2471701828300000081DELIM2299768474900015835</t>
  </si>
  <si>
    <t>Profit Receivable - Zarai Taraqiati Bank Limited - Shafi Court Branch</t>
  </si>
  <si>
    <t>DALACCT.2471701828300000082DELIM2299768474900015835</t>
  </si>
  <si>
    <t>Profit Receivable - Nrsp Microfinance Bank Limited</t>
  </si>
  <si>
    <t>DALACCT.2471701828300000083DELIM2299768474900015835</t>
  </si>
  <si>
    <t>Profit Receivable - U Microfinance Bank Limited</t>
  </si>
  <si>
    <t>DALACCT.2471701828300000084DELIM2299768474900015835</t>
  </si>
  <si>
    <t>Profit Receivable - Khushali Microfinance Bank Limited</t>
  </si>
  <si>
    <t>DALACCT.2471701828300000085DELIM2299768474900015835</t>
  </si>
  <si>
    <t>Profit Receivable - Js Bank Limited - Ocean Tower, Clifton Branch</t>
  </si>
  <si>
    <t>DALACCT._7379868200999998442DELIM2299768474900015835</t>
  </si>
  <si>
    <t>ACCRUED PROFIT ON TERM FINANCE CERTIFICATES  PRE IPO</t>
  </si>
  <si>
    <t>DALACCT.2471701828300000086DELIM2299768474900015835</t>
  </si>
  <si>
    <t>ACCRUED PROFIT ON SUKKUK  PRE IPO</t>
  </si>
  <si>
    <t>DALGROUP.2299768474900015835</t>
  </si>
  <si>
    <t>TB Total - Profit receivable on bank deposits</t>
  </si>
  <si>
    <t>DALBLANK.2299768474900015835</t>
  </si>
  <si>
    <t>DALACCT._7379868200999998555DELIM2299768474900015834</t>
  </si>
  <si>
    <t>RECEIVABLE AGAINST REDEMPTION OF DEBT SECURITIES  MARKUP</t>
  </si>
  <si>
    <t>DALACCT._7379868200999998554DELIM2299768474900015834</t>
  </si>
  <si>
    <t>PROVISION AGAINST REDEMPTION OF DEBT SECURITIES  MARKUP</t>
  </si>
  <si>
    <t>DALACCT._7379868200999998549DELIM2299768474900015834</t>
  </si>
  <si>
    <t>ACCRUED PROFIT ON TFC</t>
  </si>
  <si>
    <t>DALACCT._7379868200999998482DELIM2299768474900015834</t>
  </si>
  <si>
    <t>DALGROUP.2299768474900015834</t>
  </si>
  <si>
    <t>TB Total - Profit receivable on debt securities</t>
  </si>
  <si>
    <t>DALBLANK.2299768474900015834</t>
  </si>
  <si>
    <t>DALACCT._7379868200999998548DELIM2299768474900015833</t>
  </si>
  <si>
    <t>ACCRUED PROFIT ON GOVT SECTY  PIB</t>
  </si>
  <si>
    <t>DALGROUP.2299768474900015833</t>
  </si>
  <si>
    <t>TB Total - Profit receivable on government securities</t>
  </si>
  <si>
    <t>DALBLANK.2299768474900015833</t>
  </si>
  <si>
    <t>DALACCT._7379868200999998476DELIM2299768474900015832</t>
  </si>
  <si>
    <t>PROFIT ON TERM DEPOSITS RECEIPT</t>
  </si>
  <si>
    <t>DALGROUP.2299768474900015832</t>
  </si>
  <si>
    <t>TB Total - Profit receivable on term deposit receipts</t>
  </si>
  <si>
    <t>DALBLANK.2299768474900015832</t>
  </si>
  <si>
    <t>DALACCT.2471701828300000093DELIM2471701828300000132</t>
  </si>
  <si>
    <t>Recievable Of Income Against Mts</t>
  </si>
  <si>
    <t>DALGROUP.2471701828300000132</t>
  </si>
  <si>
    <t>TB Total - Profit receivable against MTS</t>
  </si>
  <si>
    <t>DALBLANK.2471701828300000132</t>
  </si>
  <si>
    <t>DALACCT._7379868200999998545DELIM_7379868200999998667</t>
  </si>
  <si>
    <t>PREPAYMENT OF PACRA AGAINST ANNUAL PACRA RATING FEE</t>
  </si>
  <si>
    <t>DALACCT._7379868200999998455DELIM_7379868200999998667</t>
  </si>
  <si>
    <t>Prepayment Of Ise Against Annual Listing Fee</t>
  </si>
  <si>
    <t>DALGROUP._7379868200999998667</t>
  </si>
  <si>
    <t>TB Total - Deposits, prepayments and other receivables</t>
  </si>
  <si>
    <t>DALBLANK._7379868200999998667</t>
  </si>
  <si>
    <t>DALACCT._7379868200999998457DELIM_7379868200999998581</t>
  </si>
  <si>
    <t>ADVANCES AGAINST TAX DEDUCTED AGAINST BANK PROFIT</t>
  </si>
  <si>
    <t>DALACCT._7379868200999998469DELIM_7379868200999998581</t>
  </si>
  <si>
    <t>Advances Against Tax Deducted Against Debt Security</t>
  </si>
  <si>
    <t>DALACCT.2471701828300000092DELIM_7379868200999998581</t>
  </si>
  <si>
    <t>Advance Tax Deducted On Mts Income</t>
  </si>
  <si>
    <t>DALGROUP._7379868200999998581</t>
  </si>
  <si>
    <t>TB Total - Advance Tax</t>
  </si>
  <si>
    <t>DALBLANK._7379868200999998581</t>
  </si>
  <si>
    <t>DALACCT._7379868200999998547DELIM_7379868200999998580</t>
  </si>
  <si>
    <t>SECURITY DEPOSITS NCCPL AGAINST KATS</t>
  </si>
  <si>
    <t>DALACCT.2471701828300000090DELIM_7379868200999998580</t>
  </si>
  <si>
    <t>SECURITY DEPOSITS NCCPL AGAINST MTS</t>
  </si>
  <si>
    <t>DALGROUP._7379868200999998580</t>
  </si>
  <si>
    <t>TB Total - Deposits with NCCPL</t>
  </si>
  <si>
    <t>DALBLANK._7379868200999998580</t>
  </si>
  <si>
    <t>DALACCT._7379868200999998546DELIM_7379868200999998579</t>
  </si>
  <si>
    <t>SECURITY DEPOSITS  CDC</t>
  </si>
  <si>
    <t>DALGROUP._7379868200999998579</t>
  </si>
  <si>
    <t>TB Total - Deposits with CDC</t>
  </si>
  <si>
    <t>DALBLANK._7379868200999998579</t>
  </si>
  <si>
    <t>DALGROUP._7379868200999998578</t>
  </si>
  <si>
    <t>TB Total - Margin against TFC</t>
  </si>
  <si>
    <t>DALBLANK._7379868200999998578</t>
  </si>
  <si>
    <t>DALACCT.2471701828300000091DELIM2471701828300000135</t>
  </si>
  <si>
    <t>5170.5A</t>
  </si>
  <si>
    <t>PREPAYMENT OF NCCPL AGAINST MARGIN TRADING SYSTEM</t>
  </si>
  <si>
    <t>DALGROUP.2471701828300000135</t>
  </si>
  <si>
    <t>TB Total - PREPAYMENT OF NCCPL AGAINST MARGIN TRADING SYSTEM</t>
  </si>
  <si>
    <t>DALBLANK.2471701828300000135</t>
  </si>
  <si>
    <t>DALACCT._7379868200999998439DELIM_7379868200999998577</t>
  </si>
  <si>
    <t>Prepayment Of Psx Against Annual Listing Fee</t>
  </si>
  <si>
    <t>DALGROUP._7379868200999998577</t>
  </si>
  <si>
    <t>TB Total - Prepayments</t>
  </si>
  <si>
    <t>DALBLANK._7379868200999998577</t>
  </si>
  <si>
    <t>DALACCT.2471701828300000088DELIM2299768474900015843</t>
  </si>
  <si>
    <t>RECEIVABLE FROM NCCPL AMOUNT DEPOSITED AGAINST EXPOSURE MARGIN</t>
  </si>
  <si>
    <t>DALACCT.2471701828300000089DELIM2299768474900015843</t>
  </si>
  <si>
    <t>Receivable From Nccpl Amount Deposited Against Exposure Margin ON Mts</t>
  </si>
  <si>
    <t>DALGROUP.2299768474900015843</t>
  </si>
  <si>
    <t>TB Total - Receivable from National Clearing Compnay of Pakistan</t>
  </si>
  <si>
    <t>DALBLANK.2299768474900015843</t>
  </si>
  <si>
    <t>DALGROUP._7379868200999998597</t>
  </si>
  <si>
    <t>5180-1</t>
  </si>
  <si>
    <t>TB Total - Preliminary expenses and floatation costs, and Other Advances</t>
  </si>
  <si>
    <t>DALBLANK._7379868200999998597</t>
  </si>
  <si>
    <t>DALACCT._7379868200999998535DELIM_7379868200999998666</t>
  </si>
  <si>
    <t>MANAGEMENT FEE PAYABLE</t>
  </si>
  <si>
    <t>DALACCT._7379868200999998533DELIM_7379868200999998666</t>
  </si>
  <si>
    <t>SALES TAX PAYABLE AGAINST MANAGEMENT FEE</t>
  </si>
  <si>
    <t>PAYABLE TO LEGAL ADVISOR</t>
  </si>
  <si>
    <t>DALACCT._7379868200999998452DELIM_7379868200999998666</t>
  </si>
  <si>
    <t>Back Office Operation Payable</t>
  </si>
  <si>
    <t>DALGROUP._7379868200999998666</t>
  </si>
  <si>
    <t>TB Total - Payable to Management Company</t>
  </si>
  <si>
    <t>DALBLANK._7379868200999998666</t>
  </si>
  <si>
    <t>DALACCT._7379868200999998531DELIM_7379868200999998665</t>
  </si>
  <si>
    <t>TRUSTEE REMUNERATION PAYABLE</t>
  </si>
  <si>
    <t>DALGROUP._7379868200999998665</t>
  </si>
  <si>
    <t>TB Total - Payable to Central Depository Company of Pakistan Limited - Trustee</t>
  </si>
  <si>
    <t>DALBLANK._7379868200999998665</t>
  </si>
  <si>
    <t>DALACCT._7379868200999998530DELIM_7379868200999998664</t>
  </si>
  <si>
    <t>PAYABLE TO SECP  ANNUAL FEE</t>
  </si>
  <si>
    <t>DALGROUP._7379868200999998664</t>
  </si>
  <si>
    <t>TB Total - Payable to Securities and Exchange Commission</t>
  </si>
  <si>
    <t>DALBLANK._7379868200999998664</t>
  </si>
  <si>
    <t>DALACCT._7379868200999998529DELIM_7379868200999998663</t>
  </si>
  <si>
    <t>PAYABLE AGAINST REDEMPTION OF UNITS</t>
  </si>
  <si>
    <t>DALGROUP._7379868200999998663</t>
  </si>
  <si>
    <t>TB Total - Payable against redemption of units</t>
  </si>
  <si>
    <t>DALBLANK._7379868200999998663</t>
  </si>
  <si>
    <t>DALACCT.2471701828300000094DELIM2471701828300000131</t>
  </si>
  <si>
    <t>6140.1A</t>
  </si>
  <si>
    <t>PAYABLE AGAINST PURCHASE OF EQUITY SECURITIES</t>
  </si>
  <si>
    <t>DALGROUP.2471701828300000131</t>
  </si>
  <si>
    <t>TB Total - PAYABLE AGAINST PURCHASE OF EQUITY SECURITIES</t>
  </si>
  <si>
    <t>DALBLANK.2471701828300000131</t>
  </si>
  <si>
    <t>DALGROUP._7379868200999998662</t>
  </si>
  <si>
    <t>TB Total - Unclaimed dividend</t>
  </si>
  <si>
    <t>DALBLANK._7379868200999998662</t>
  </si>
  <si>
    <t>DALACCT._7379868200999998456DELIM_7379868200999998661</t>
  </si>
  <si>
    <t>PREPAYMENT OF LSE AGAINST ANNUAL LISTING FEE</t>
  </si>
  <si>
    <t>SALE LOAD PAYABLE</t>
  </si>
  <si>
    <t>DALACCT._7379868200999998532DELIM_7379868200999998661</t>
  </si>
  <si>
    <t>FED TAX PAYABLE AGAINST MANAGEMENT FEE</t>
  </si>
  <si>
    <t>Sales Tax Payable On Trustee Fee</t>
  </si>
  <si>
    <t>DALACCT._7379868200999998435DELIM_7379868200999998661</t>
  </si>
  <si>
    <t>Fed Tax Payable Against Sales Load</t>
  </si>
  <si>
    <t>DALACCT._7379868200999998434DELIM_7379868200999998661</t>
  </si>
  <si>
    <t>DIVIDEND PAYABLE</t>
  </si>
  <si>
    <t>DALACCT.2471701828300000095DELIM_7379868200999998661</t>
  </si>
  <si>
    <t>BROKERAGE PAYABLE  EQUITY INVESTMENT</t>
  </si>
  <si>
    <t>DALACCT._7379868200999998528DELIM_7379868200999998661</t>
  </si>
  <si>
    <t>BROKERAGE PAYABLE MONEY MARKET</t>
  </si>
  <si>
    <t>DALACCT._7379868200999998453DELIM_7379868200999998661</t>
  </si>
  <si>
    <t>BROKERAGE PAYABLE  MONEY MARKET</t>
  </si>
  <si>
    <t>DALACCT._7379868200999998527DELIM_7379868200999998661</t>
  </si>
  <si>
    <t>WORKER'S WELFARE FUND PAYABLE</t>
  </si>
  <si>
    <t>DALACCT._7379868200999998526DELIM_7379868200999998661</t>
  </si>
  <si>
    <t>AUDIT FEE PAYABLE</t>
  </si>
  <si>
    <t>DALACCT._7379868200999998525DELIM_7379868200999998661</t>
  </si>
  <si>
    <t>WITHHOLDING TAX PAYABLE  CGT U/S 37A</t>
  </si>
  <si>
    <t>DALACCT._7379868200999998468DELIM_7379868200999998661</t>
  </si>
  <si>
    <t>W.H. TAX PAYABLE  DIVIDEND U/S 150</t>
  </si>
  <si>
    <t>DALACCT._7379868200999998524DELIM_7379868200999998661</t>
  </si>
  <si>
    <t>ZAKAT PAYABLE</t>
  </si>
  <si>
    <t>DALACCT._7379868200999998523DELIM_7379868200999998661</t>
  </si>
  <si>
    <t>SETTLEMENT CHARGES PAYABLE TO NCCPL</t>
  </si>
  <si>
    <t>DALACCT._7379868200999998522DELIM_7379868200999998661</t>
  </si>
  <si>
    <t>PRINTING CHARGES PAYABLE</t>
  </si>
  <si>
    <t>DALACCT.2285947102100007528DELIM_7379868200999998661</t>
  </si>
  <si>
    <t>DT1</t>
  </si>
  <si>
    <t>SST payable on back office operation expenses</t>
  </si>
  <si>
    <t>DALGROUP._7379868200999998661</t>
  </si>
  <si>
    <t>TB Total - Accrued expenses and other liabilities</t>
  </si>
  <si>
    <t>DALBLANK._7379868200999998661</t>
  </si>
  <si>
    <t>DALACCT.2471701828300000096DELIM2471701828300000133</t>
  </si>
  <si>
    <t>6160.1A</t>
  </si>
  <si>
    <t>Payable Against Exposure In Magin Trading System</t>
  </si>
  <si>
    <t>DALGROUP.2471701828300000133</t>
  </si>
  <si>
    <t>TB Total - Payable Against Exposure In Magin Trading System</t>
  </si>
  <si>
    <t>DALBLANK.2471701828300000133</t>
  </si>
  <si>
    <t>DALGROUP._7379868200999998660</t>
  </si>
  <si>
    <t>TB Total - Provision Against Impairment Loss</t>
  </si>
  <si>
    <t>DALBLANK._7379868200999998660</t>
  </si>
  <si>
    <t>DALGROUP._7379868200999998659</t>
  </si>
  <si>
    <t>TB Total - Tax Payable</t>
  </si>
  <si>
    <t>DALBLANK._7379868200999998659</t>
  </si>
  <si>
    <t>DALGROUP._7379868200999998658</t>
  </si>
  <si>
    <t>TB Total - Issued, subscribed and paid-up capital</t>
  </si>
  <si>
    <t>DALBLANK._7379868200999998658</t>
  </si>
  <si>
    <t>DALACCT._7379868200999998537DELIM_7379868200999998655</t>
  </si>
  <si>
    <t>Unrealized Gain / (Loss) Pib- Afs</t>
  </si>
  <si>
    <t>DALGROUP._7379868200999998655</t>
  </si>
  <si>
    <t>TB Total - Unrealized appreciation in value of investments-AFS</t>
  </si>
  <si>
    <t>DALBLANK._7379868200999998655</t>
  </si>
  <si>
    <t>DALACCT._7379868200999998538DELIM_7379868200999998657</t>
  </si>
  <si>
    <t>UNAPPROPRIATED INCOME</t>
  </si>
  <si>
    <t>DALGROUP._7379868200999998657</t>
  </si>
  <si>
    <t>TB Total - Accumulated loss</t>
  </si>
  <si>
    <t>DALBLANK._7379868200999998657</t>
  </si>
  <si>
    <t>DALACCT._7379868200999998544DELIM_7379868200999998656</t>
  </si>
  <si>
    <t>ISSUED OF UNITS AGAINST SALE OF UNITS</t>
  </si>
  <si>
    <t>DALACCT._7379868200999998543DELIM_7379868200999998656</t>
  </si>
  <si>
    <t>REDEMPTION OF UNITS  NORMAL</t>
  </si>
  <si>
    <t>DALACCT._7379868200999998542DELIM_7379868200999998656</t>
  </si>
  <si>
    <t>CONVERSION IN UNITS</t>
  </si>
  <si>
    <t>DALACCT._7379868200999998541DELIM_7379868200999998656</t>
  </si>
  <si>
    <t>CONVERSION OUT UNITS</t>
  </si>
  <si>
    <t>DALACCT._7379868200999998539DELIM_7379868200999998656</t>
  </si>
  <si>
    <t>ELEMENT OF INCOME  UNREALIZED</t>
  </si>
  <si>
    <t>DALACCT._7379868200999998536DELIM_7379868200999998656</t>
  </si>
  <si>
    <t>BALANCE ACCOUNT</t>
  </si>
  <si>
    <t>DALGROUP._7379868200999998656</t>
  </si>
  <si>
    <t>TB Total - Unit holders Fund</t>
  </si>
  <si>
    <t>DALBLANK._7379868200999998656</t>
  </si>
  <si>
    <t>DALACCT._7379868200999998540DELIM_7379868200999998654</t>
  </si>
  <si>
    <t>ELEMENT OF INCOME  REALIZED</t>
  </si>
  <si>
    <t>DALGROUP._7379868200999998654</t>
  </si>
  <si>
    <t>TB Total - Realized Element of income</t>
  </si>
  <si>
    <t>DALBLANK._7379868200999998654</t>
  </si>
  <si>
    <t>DALGROUP._7379868200999998652</t>
  </si>
  <si>
    <t>TB Total - Unrealized Element of income</t>
  </si>
  <si>
    <t>DALBLANK._7379868200999998652</t>
  </si>
  <si>
    <t>DALACCT.2471701828300000097DELIM_7379868200999998650</t>
  </si>
  <si>
    <t>CAPITAL GAIN / (LOSS) ON SALE OF EQUITY SECURITIES</t>
  </si>
  <si>
    <t>DALACCT._7379868200999998521DELIM_7379868200999998650</t>
  </si>
  <si>
    <t>CAPITAL GAIN / (LOSS) ON SALE OF DEBT SECURITIES</t>
  </si>
  <si>
    <t>DALACCT._7379868200999998520DELIM_7379868200999998650</t>
  </si>
  <si>
    <t>CAPITAL GAIN / (LOSS) ON SALE OF PIBS</t>
  </si>
  <si>
    <t>DALACCT._7379868200999998519DELIM_7379868200999998650</t>
  </si>
  <si>
    <t>CAPITAL GAIN / (LOSS) ON SALE OF T-BILLS</t>
  </si>
  <si>
    <t>DALGROUP._7379868200999998650</t>
  </si>
  <si>
    <t>TB Total - Capital gain / (loss) on sale of investments - net</t>
  </si>
  <si>
    <t>DALBLANK._7379868200999998650</t>
  </si>
  <si>
    <t>DALGROUP._7379868200999998649</t>
  </si>
  <si>
    <t>8110.1A</t>
  </si>
  <si>
    <t>TB Total - Income from CFS Transactions</t>
  </si>
  <si>
    <t>DALBLANK._7379868200999998649</t>
  </si>
  <si>
    <t>DALACCT.2477818093500000094DELIM2471701828300000136</t>
  </si>
  <si>
    <t>8110.1B</t>
  </si>
  <si>
    <t>URG / LOSS FUTURE EQUITIES TRANSACTIONS</t>
  </si>
  <si>
    <t>DALACCT.2471701828300000111DELIM2471701828300000136</t>
  </si>
  <si>
    <t>Income On Spread Transactions</t>
  </si>
  <si>
    <t>DALGROUP.2471701828300000136</t>
  </si>
  <si>
    <t>TB Total - Income from investment in Derivative</t>
  </si>
  <si>
    <t>DALBLANK.2471701828300000136</t>
  </si>
  <si>
    <t>DALACCT._7379868200999998508DELIM_7379868200999998648</t>
  </si>
  <si>
    <t>8110.2A</t>
  </si>
  <si>
    <t>INCOME ON TFC</t>
  </si>
  <si>
    <t>DALACCT._7379868200999998507DELIM_7379868200999998648</t>
  </si>
  <si>
    <t>DALACCT._7379868200999998505DELIM_7379868200999998648</t>
  </si>
  <si>
    <t>AMORTIZATION / DISCOUNT ON DEBT SECURITIES - TFC</t>
  </si>
  <si>
    <t>DALACCT._7379868200999998432DELIM_7379868200999998648</t>
  </si>
  <si>
    <t>Provision Against Debt Securities  Accrued Markup</t>
  </si>
  <si>
    <t>DALACCT._7379868200999998461DELIM_7379868200999998648</t>
  </si>
  <si>
    <t>PROVISION AGAINST DEBT SECURITIES  ACCRUED MARKUP</t>
  </si>
  <si>
    <t>DALGROUP._7379868200999998648</t>
  </si>
  <si>
    <t>TB Total - Income from Term Finance Certificates</t>
  </si>
  <si>
    <t>DALBLANK._7379868200999998648</t>
  </si>
  <si>
    <t>DALACCT._7379868200999998506DELIM_7379868200999998647</t>
  </si>
  <si>
    <t>8110.3A</t>
  </si>
  <si>
    <t>INCOME ON GOVT SECTY PIBS</t>
  </si>
  <si>
    <t>DALACCT.2471701828300000109DELIM_7379868200999998647</t>
  </si>
  <si>
    <t>Discount Income On Govt Security Pibs</t>
  </si>
  <si>
    <t>DALACCT._7379868200999998504DELIM_7379868200999998647</t>
  </si>
  <si>
    <t>AMORTIZATION / DISCOUNT ON GOVT SEC BILLSS</t>
  </si>
  <si>
    <t>DALACCT.2471701828300000110DELIM_7379868200999998647</t>
  </si>
  <si>
    <t>DALACCT.2471701828300000115DELIM_7379868200999998647</t>
  </si>
  <si>
    <t>Premium Amortization Of Pibs</t>
  </si>
  <si>
    <t>DALGROUP._7379868200999998647</t>
  </si>
  <si>
    <t>TB Total - Income from Government Securities</t>
  </si>
  <si>
    <t>DALBLANK._7379868200999998647</t>
  </si>
  <si>
    <t>DALGROUP._7379868200999998646</t>
  </si>
  <si>
    <t>8110.4A</t>
  </si>
  <si>
    <t>TB Total - Income from placements with financial institutions</t>
  </si>
  <si>
    <t>DALBLANK._7379868200999998646</t>
  </si>
  <si>
    <t>DALACCT._7379868200999998474DELIM_7379868200999998645</t>
  </si>
  <si>
    <t>8110.5A</t>
  </si>
  <si>
    <t>RETURN ON TERM DEPOSIT ACCOUNTS</t>
  </si>
  <si>
    <t>DALGROUP._7379868200999998645</t>
  </si>
  <si>
    <t>TB Total - Income from TDR</t>
  </si>
  <si>
    <t>DALBLANK._7379868200999998645</t>
  </si>
  <si>
    <t>DALACCT._7379868200999998464DELIM_7379868200999998644</t>
  </si>
  <si>
    <t>8110.6A</t>
  </si>
  <si>
    <t>INCOME ON NCCPL DEPOSIT AGAINST EXPOSURE MARGIN</t>
  </si>
  <si>
    <t>DALGROUP._7379868200999998644</t>
  </si>
  <si>
    <t>TB Total - Income on NCCPL margin</t>
  </si>
  <si>
    <t>DALBLANK._7379868200999998644</t>
  </si>
  <si>
    <t>DALACCT._7379868200999998503DELIM_7379868200999998436</t>
  </si>
  <si>
    <t>8110.6B</t>
  </si>
  <si>
    <t>OTHER INCOME</t>
  </si>
  <si>
    <t>DALACCT.2471701828300000112DELIM_7379868200999998436</t>
  </si>
  <si>
    <t>Markup Income On Mts</t>
  </si>
  <si>
    <t>DALGROUP._7379868200999998436</t>
  </si>
  <si>
    <t>TB Total - Pre IPO participation income</t>
  </si>
  <si>
    <t>DALBLANK._7379868200999998436</t>
  </si>
  <si>
    <t>DALACCT.2471701828300000100DELIM_7379868200999998643</t>
  </si>
  <si>
    <t>8110.7A</t>
  </si>
  <si>
    <t>PROFIT ON - ALLIED BANK LIMITED - FOREIGN EXCHANGE BRANCH</t>
  </si>
  <si>
    <t>DALACCT._7379868200999998515DELIM_7379868200999998643</t>
  </si>
  <si>
    <t>PROFIT ON - BANK AL FALAH LIMITED  - KSE BRANCH</t>
  </si>
  <si>
    <t>DALACCT._7379868200999998514DELIM_7379868200999998643</t>
  </si>
  <si>
    <t>Profit On - Faysal Bank Limited - Gulshan E Iqbal Branch</t>
  </si>
  <si>
    <t>DALACCT._7379868200999998513DELIM_7379868200999998643</t>
  </si>
  <si>
    <t>Profit On - Habib Metropolitan Bank Limited - Karachi Stock Exchange Branch</t>
  </si>
  <si>
    <t>DALACCT._7379868200999998512DELIM_7379868200999998643</t>
  </si>
  <si>
    <t>Profit On - Habib Metropolitan Bank Limited - Main Branch</t>
  </si>
  <si>
    <t>DALACCT._7379868200999998511DELIM_7379868200999998643</t>
  </si>
  <si>
    <t>Profit On - Mcb Bank Limited - Uni Tower Branch</t>
  </si>
  <si>
    <t>DALACCT._7379868200999998451DELIM_7379868200999998643</t>
  </si>
  <si>
    <t>Profit On - Mcb Bank Limited - Shaheen Complex Branch</t>
  </si>
  <si>
    <t>DALACCT._7379868200999998510DELIM_7379868200999998643</t>
  </si>
  <si>
    <t>Profit On - Nib Bank Limited - Cloth Market Branch</t>
  </si>
  <si>
    <t>DALACCT._7379868200999998509DELIM_7379868200999998643</t>
  </si>
  <si>
    <t>PROFIT ON - STANDARD CHARTERED BANK LIMITED - MAIN BRANCH</t>
  </si>
  <si>
    <t>DALACCT._7379868200999998475DELIM_7379868200999998643</t>
  </si>
  <si>
    <t>Profit On - United Bank Limited - Corporate Branch</t>
  </si>
  <si>
    <t>DALACCT.2471701828300000101DELIM_7379868200999998643</t>
  </si>
  <si>
    <t>Profit On - Bank Al Habib Limited - Main Branch</t>
  </si>
  <si>
    <t>DALACCT.2471701828300000102DELIM_7379868200999998643</t>
  </si>
  <si>
    <t>Profit On - Zarai Taraqiati Bank Limited - Shafi Court Branch</t>
  </si>
  <si>
    <t>DALACCT.2471701828300000103DELIM_7379868200999998643</t>
  </si>
  <si>
    <t>Profit On - Js Bank Limited - Ocean Tower, Clifton Branch</t>
  </si>
  <si>
    <t>DALACCT.2471701828300000104DELIM_7379868200999998643</t>
  </si>
  <si>
    <t>Profit On - Nrsp Microfinance Bank Limited</t>
  </si>
  <si>
    <t>DALACCT.2471701828300000105DELIM_7379868200999998643</t>
  </si>
  <si>
    <t>Profit On - Mobilink Microfinance Bank Limited</t>
  </si>
  <si>
    <t>DALACCT.2471701828300000106DELIM_7379868200999998643</t>
  </si>
  <si>
    <t>Profit On - U Microfinance Bank Limited</t>
  </si>
  <si>
    <t>DALACCT.2471701828300000107DELIM_7379868200999998643</t>
  </si>
  <si>
    <t>Profit On - Khushali Microfinance Bank Limited</t>
  </si>
  <si>
    <t>DALACCT.2471701828300000108DELIM_7379868200999998643</t>
  </si>
  <si>
    <t>Profit On - Tameer Microfinance Bank</t>
  </si>
  <si>
    <t>DALGROUP._7379868200999998643</t>
  </si>
  <si>
    <t>TB Total - Profit on bank deposits</t>
  </si>
  <si>
    <t>DALBLANK._7379868200999998643</t>
  </si>
  <si>
    <t>DALACCT.2471701828300000099DELIM_7379868200999998692</t>
  </si>
  <si>
    <t>8110.8A</t>
  </si>
  <si>
    <t>URG / LOSS HFT EQUITY INVESTMENTS</t>
  </si>
  <si>
    <t>DALACCT._7379868200999998518DELIM_7379868200999998692</t>
  </si>
  <si>
    <t>URG / LOSS INVESTMENT IN DEBT SECURITIES</t>
  </si>
  <si>
    <t>DALACCT._7379868200999998517DELIM_7379868200999998692</t>
  </si>
  <si>
    <t>URG/LOSS INVESTMENTS IN PIBS</t>
  </si>
  <si>
    <t>DALACCT._7379868200999998516DELIM_7379868200999998692</t>
  </si>
  <si>
    <t>URG/LOSS INVESTMENTS IN TBILLS</t>
  </si>
  <si>
    <t>DALGROUP._7379868200999998692</t>
  </si>
  <si>
    <t>TB Total - Unrealized appreciation / (diminuition) in value of investments at fair value through profit or loss</t>
  </si>
  <si>
    <t>DALBLANK._7379868200999998692</t>
  </si>
  <si>
    <t>DALACCT.2471701828300000098DELIM2471701828300000129</t>
  </si>
  <si>
    <t>8110.9A</t>
  </si>
  <si>
    <t>DIVIDEND INCOME ON EQUITY SECURITIES</t>
  </si>
  <si>
    <t>DALGROUP.2471701828300000129</t>
  </si>
  <si>
    <t>TB Total - Dividend Income</t>
  </si>
  <si>
    <t>DALBLANK.2471701828300000129</t>
  </si>
  <si>
    <t>DALACCT._7379868200999998433DELIM_7379868200999998691</t>
  </si>
  <si>
    <t>Provision Against Debt Securities  Principal Amount</t>
  </si>
  <si>
    <t>DALACCT._7379868200999998493DELIM_7379868200999998691</t>
  </si>
  <si>
    <t>PROVISION AGAINST DEBT SECURITIES  PRINCIPAL AMOUNT</t>
  </si>
  <si>
    <t>DALGROUP._7379868200999998691</t>
  </si>
  <si>
    <t>TB Total - Impairment loss</t>
  </si>
  <si>
    <t>DALBLANK._7379868200999998691</t>
  </si>
  <si>
    <t>DALACCT._7379868200999998500DELIM_7379868200999998690</t>
  </si>
  <si>
    <t>MANAGEMENT COMPANY REMUNERATION</t>
  </si>
  <si>
    <t>DALACCT._7379868200999998499DELIM_7379868200999998690</t>
  </si>
  <si>
    <t>SALES TAX ON MANAGEMENT COMPANY REMUNERATION</t>
  </si>
  <si>
    <t>DALACCT._7379868200999998498DELIM_7379868200999998690</t>
  </si>
  <si>
    <t>FED EXPENSE ON MGM FEE</t>
  </si>
  <si>
    <t>DALGROUP._7379868200999998690</t>
  </si>
  <si>
    <t>TB Total - Remuneration of management company</t>
  </si>
  <si>
    <t>DALBLANK._7379868200999998690</t>
  </si>
  <si>
    <t>DALACCT._7379868200999998497DELIM_7379868200999998689</t>
  </si>
  <si>
    <t>8120.1A</t>
  </si>
  <si>
    <t>TRUSTEE REMUNERATION</t>
  </si>
  <si>
    <t>DALGROUP._7379868200999998689</t>
  </si>
  <si>
    <t>TB Total - Remuneration of CDC - Trustee</t>
  </si>
  <si>
    <t>DALBLANK._7379868200999998689</t>
  </si>
  <si>
    <t>DALACCT._7379868200999998496DELIM_7379868200999998688</t>
  </si>
  <si>
    <t>8120.2A</t>
  </si>
  <si>
    <t>SECP ANNUAL FEE</t>
  </si>
  <si>
    <t>DALGROUP._7379868200999998688</t>
  </si>
  <si>
    <t>TB Total - Annual fee - SECP</t>
  </si>
  <si>
    <t>DALBLANK._7379868200999998688</t>
  </si>
  <si>
    <t>DALACCT.2471701828300000113DELIM_7379868200999998687</t>
  </si>
  <si>
    <t>BROKERAGE EXPENSE ON EQUITY INVESTMENT</t>
  </si>
  <si>
    <t>DALACCT._7379868200999998495DELIM_7379868200999998687</t>
  </si>
  <si>
    <t>BROKERAGE EXPENSE  MONEY MARKET TRANSACTIONS</t>
  </si>
  <si>
    <t>DALACCT._7379868200999998463DELIM_7379868200999998687</t>
  </si>
  <si>
    <t>SETT CHG  TRUSTEE</t>
  </si>
  <si>
    <t>DALACCT._7379868200999998462DELIM_7379868200999998687</t>
  </si>
  <si>
    <t>SETT CHG  NCCPL  EQUITY TRANSACTIONS</t>
  </si>
  <si>
    <t>DALACCT._7379868200999998494DELIM_7379868200999998687</t>
  </si>
  <si>
    <t>SETT CHG  NCCPL  DEBT SECURITY TRANSACTIONS</t>
  </si>
  <si>
    <t>DALACCT._7379868200999998490DELIM_7379868200999998687</t>
  </si>
  <si>
    <t>LEGAL AND PROFESSIONAL CHARGES</t>
  </si>
  <si>
    <t>DALGROUP._7379868200999998687</t>
  </si>
  <si>
    <t>TB Total - Securities transactin cost</t>
  </si>
  <si>
    <t>DALBLANK._7379868200999998687</t>
  </si>
  <si>
    <t>DALGROUP._7379868200999998685</t>
  </si>
  <si>
    <t>TB Total - Conversion cost</t>
  </si>
  <si>
    <t>DALBLANK._7379868200999998685</t>
  </si>
  <si>
    <t>DALGROUP._7379868200999998591</t>
  </si>
  <si>
    <t>TB Total - Financial Charges</t>
  </si>
  <si>
    <t>DALBLANK._7379868200999998591</t>
  </si>
  <si>
    <t>DALACCT.2471701828300000118DELIM_7379868200999998590</t>
  </si>
  <si>
    <t>BANK CHARGES - ALLIED BANK LIMITED</t>
  </si>
  <si>
    <t>DALACCT._7379868200999998487DELIM_7379868200999998590</t>
  </si>
  <si>
    <t>BANK CHARGES - BANK AL FALAH LIMITED</t>
  </si>
  <si>
    <t>DALACCT._7379868200999998447DELIM_7379868200999998590</t>
  </si>
  <si>
    <t>BANK CHARGES - FAYSAL BANK LIMITED</t>
  </si>
  <si>
    <t>DALACCT.2477818093500000618DELIM_7379868200999998590</t>
  </si>
  <si>
    <t>BANK CHARGES - HABIB BANK LIMITED</t>
  </si>
  <si>
    <t>DALACCT._7379868200999998486DELIM_7379868200999998590</t>
  </si>
  <si>
    <t>BANK CHARGES - HABIB METROPOLITAN BANK LIMITED</t>
  </si>
  <si>
    <t>DALACCT._7379868200999998485DELIM_7379868200999998590</t>
  </si>
  <si>
    <t>BANK CHARGES - MCB BANK LIMITED</t>
  </si>
  <si>
    <t>DALACCT._7379868200999998484DELIM_7379868200999998590</t>
  </si>
  <si>
    <t>BANK CHARGES - NIB BANK LIMITED</t>
  </si>
  <si>
    <t>DALACCT._7379868200999998470DELIM_7379868200999998590</t>
  </si>
  <si>
    <t>BANK CHARGES - UNITED BANK LIMITED</t>
  </si>
  <si>
    <t>DALACCT.2471701828300000119DELIM_7379868200999998590</t>
  </si>
  <si>
    <t>Bank Charges - Bank Al-Habib Limited</t>
  </si>
  <si>
    <t>DALACCT.2471701828300000120DELIM_7379868200999998590</t>
  </si>
  <si>
    <t>Bank Charges - Zarai Taraqiati Bank Limited</t>
  </si>
  <si>
    <t>DALACCT.2471701828300000121DELIM_7379868200999998590</t>
  </si>
  <si>
    <t>Bank Charges - JS Bank Limited</t>
  </si>
  <si>
    <t>DALACCT.2471701828300000122DELIM_7379868200999998590</t>
  </si>
  <si>
    <t>Bank Charges - Nrsp Microfinance Bank Limited</t>
  </si>
  <si>
    <t>DALACCT.2471701828300000123DELIM_7379868200999998590</t>
  </si>
  <si>
    <t>Bank Charges - Mobilink Microfinance Bank Limited</t>
  </si>
  <si>
    <t>DALACCT.2471701828300000124DELIM_7379868200999998590</t>
  </si>
  <si>
    <t>Bank Charges - U Microfinance Bank Limited</t>
  </si>
  <si>
    <t>DALACCT.2471701828300000125DELIM_7379868200999998590</t>
  </si>
  <si>
    <t>Bank Charges - Khushali Microfinance Bank Limited</t>
  </si>
  <si>
    <t>DALACCT.2471701828300000126DELIM_7379868200999998590</t>
  </si>
  <si>
    <t>Bank Charges - Tameer Microfinance Bank</t>
  </si>
  <si>
    <t>DALACCT.2471701828300000127DELIM_7379868200999998590</t>
  </si>
  <si>
    <t>Bank Charges - Finca Microfinance Bank</t>
  </si>
  <si>
    <t>DALGROUP._7379868200999998590</t>
  </si>
  <si>
    <t>TB Total - Bank Charges</t>
  </si>
  <si>
    <t>DALBLANK._7379868200999998590</t>
  </si>
  <si>
    <t>DALGROUP._7379868200999998589</t>
  </si>
  <si>
    <t>TB Total - Rreversal of Provision Against Debt securities</t>
  </si>
  <si>
    <t>DALBLANK._7379868200999998589</t>
  </si>
  <si>
    <t>DALACCT._7379868200999998448DELIM_7379868200999998686</t>
  </si>
  <si>
    <t>FEE &amp; SUBSCRIP ANNUAL LISTING FEE LSE</t>
  </si>
  <si>
    <t>DALACCT._7379868200999998489DELIM_7379868200999998686</t>
  </si>
  <si>
    <t>FEE &amp; SUBSCRIPANNUAL PACRA FEE</t>
  </si>
  <si>
    <t>DALACCT._7379868200999998460DELIM_7379868200999998686</t>
  </si>
  <si>
    <t>Fee &amp; Subscripannual Listing Fee Ise</t>
  </si>
  <si>
    <t>DALACCT._7379868200999998437DELIM_7379868200999998686</t>
  </si>
  <si>
    <t>Fee &amp; Subscription Annual Listing Fee Psx</t>
  </si>
  <si>
    <t>DALACCT.2471701828300000117DELIM_7379868200999998686</t>
  </si>
  <si>
    <t>Fee &amp; Subscription Annual Mts Charges</t>
  </si>
  <si>
    <t>DALACCT._7379868200999998472DELIM_7379868200999998686</t>
  </si>
  <si>
    <t>Sindh Sales Tax Registration Charges</t>
  </si>
  <si>
    <t>DALGROUP._7379868200999998686</t>
  </si>
  <si>
    <t>TB Total - Fees and subscription</t>
  </si>
  <si>
    <t>DALBLANK._7379868200999998686</t>
  </si>
  <si>
    <t>DALACCT.2471701828300000114DELIM_7379868200999998576</t>
  </si>
  <si>
    <t>Laga And Levy Charges On Mts</t>
  </si>
  <si>
    <t>DALGROUP._7379868200999998576</t>
  </si>
  <si>
    <t>TB Total - Legal and Professional Charges</t>
  </si>
  <si>
    <t>DALBLANK._7379868200999998576</t>
  </si>
  <si>
    <t>DALGROUP._7379868200999998684</t>
  </si>
  <si>
    <t>TB Total - Settlement Charges</t>
  </si>
  <si>
    <t>DALBLANK._7379868200999998684</t>
  </si>
  <si>
    <t>DALACCT._7379868200999998488DELIM_7379868200999998683</t>
  </si>
  <si>
    <t>8150.1A</t>
  </si>
  <si>
    <t>PRINTING OF ACCOUNTS CHARGES</t>
  </si>
  <si>
    <t>DALACCT._7379868200999998471DELIM_7379868200999998683</t>
  </si>
  <si>
    <t>DESPATCH AND COURIER CHARGES OF ACCOUNTS</t>
  </si>
  <si>
    <t>DALACCT.2299768474900013105DELIM_7379868200999998683</t>
  </si>
  <si>
    <t>DT2</t>
  </si>
  <si>
    <t>Rounding difference</t>
  </si>
  <si>
    <t>DALGROUP._7379868200999998683</t>
  </si>
  <si>
    <t>TB Total - Printing and related cost</t>
  </si>
  <si>
    <t>DALBLANK._7379868200999998683</t>
  </si>
  <si>
    <t>DALACCT._7379868200999998491DELIM_7379868200999998682</t>
  </si>
  <si>
    <t>8150.2A</t>
  </si>
  <si>
    <t>AUDIT FEE EXPENSE</t>
  </si>
  <si>
    <t>DALACCT._7379868200999998473DELIM_7379868200999998682</t>
  </si>
  <si>
    <t>OUT OF POCKET EXPENSES</t>
  </si>
  <si>
    <t>DALGROUP._7379868200999998682</t>
  </si>
  <si>
    <t>TB Total - Auditor's remuneration</t>
  </si>
  <si>
    <t>DALBLANK._7379868200999998682</t>
  </si>
  <si>
    <t>DALGROUP._7379868200999998681</t>
  </si>
  <si>
    <t>8150.3A</t>
  </si>
  <si>
    <t>TB Total - Amortization of preliminary expenses and flotation costs</t>
  </si>
  <si>
    <t>DALBLANK._7379868200999998681</t>
  </si>
  <si>
    <t>DALGROUP._7379868200999998680</t>
  </si>
  <si>
    <t>TB Total - Provision Against Impairment Loss-EXP</t>
  </si>
  <si>
    <t>DALBLANK._7379868200999998680</t>
  </si>
  <si>
    <t>DALACCT._7379868200999998492DELIM_7379868200999998588</t>
  </si>
  <si>
    <t>TAXATIONWORKERS WELFARE FUND (WWF)</t>
  </si>
  <si>
    <t>DALACCT.2471701828300000116DELIM_7379868200999998588</t>
  </si>
  <si>
    <t>Taxationworkers Welfare Fund (Wwf) - Reversal</t>
  </si>
  <si>
    <t>DALGROUP._7379868200999998588</t>
  </si>
  <si>
    <t>TB Total - WWF-EXP</t>
  </si>
  <si>
    <t>DALBLANK._7379868200999998588</t>
  </si>
  <si>
    <t>DALACCT._7379868200999998450DELIM_7379868200999998446</t>
  </si>
  <si>
    <t>Sales Tax On Trustee Fee</t>
  </si>
  <si>
    <t>DALGROUP._7379868200999998446</t>
  </si>
  <si>
    <t>TB Total - Sales Tax on Trustee Fees</t>
  </si>
  <si>
    <t>DALBLANK._7379868200999998446</t>
  </si>
  <si>
    <t>DALACCT._7379868200999998449DELIM_7379868200999998443</t>
  </si>
  <si>
    <t>Back Office Operation Expenses</t>
  </si>
  <si>
    <t>DALACCT._7379868200999998438DELIM_7379868200999998443</t>
  </si>
  <si>
    <t>SST on Back Office Operation Expenses</t>
  </si>
  <si>
    <t>DALGROUP._7379868200999998443</t>
  </si>
  <si>
    <t>TB Total - Back office expense</t>
  </si>
  <si>
    <t>DALBLANK._7379868200999998443</t>
  </si>
  <si>
    <t>DALACCT._7379868200999998502DELIM_7379868200999998653</t>
  </si>
  <si>
    <t>ELEMENT OF INCOME - REALIZED</t>
  </si>
  <si>
    <t>DALGROUP._7379868200999998653</t>
  </si>
  <si>
    <t>TB Total - Realized Element &amp; CG</t>
  </si>
  <si>
    <t>DALBLANK._7379868200999998653</t>
  </si>
  <si>
    <t>DALACCT._7379868200999998501DELIM_7379868200999998651</t>
  </si>
  <si>
    <t>ELEMENT OF INCOME - UNREALIZED</t>
  </si>
  <si>
    <t>DALGROUP._7379868200999998651</t>
  </si>
  <si>
    <t>TB Total - Unrealized Element &amp; Capital Gain</t>
  </si>
  <si>
    <t>DALS_GrandTotal</t>
  </si>
  <si>
    <t>Grand Total</t>
  </si>
  <si>
    <t>PAKISTAN INCOME ENHANCEMENT FUND</t>
  </si>
  <si>
    <t>Breakup of equity</t>
  </si>
  <si>
    <t>Net profit</t>
  </si>
  <si>
    <t>2016</t>
  </si>
  <si>
    <t>Cash flow</t>
  </si>
  <si>
    <t>Opening balance</t>
  </si>
  <si>
    <t>Other components</t>
  </si>
  <si>
    <t>Note</t>
  </si>
  <si>
    <t>Change in assets</t>
  </si>
  <si>
    <t>Change in liabilities</t>
  </si>
  <si>
    <t>Total</t>
  </si>
  <si>
    <t>ASSETS</t>
  </si>
  <si>
    <t>Net assets</t>
  </si>
  <si>
    <t>Balances with banks</t>
  </si>
  <si>
    <t>As per closing balance</t>
  </si>
  <si>
    <t>Investments</t>
  </si>
  <si>
    <t>Profit receivable</t>
  </si>
  <si>
    <t>Advances, deposit and prepayments</t>
  </si>
  <si>
    <t>Total assets</t>
  </si>
  <si>
    <t>LIABILITIES</t>
  </si>
  <si>
    <t>Payable against redemption of units</t>
  </si>
  <si>
    <t>Accrued expenses and other liabilities</t>
  </si>
  <si>
    <t>Total liabilities</t>
  </si>
  <si>
    <t>NET ASSETS</t>
  </si>
  <si>
    <t>Unit holders’ fund (as per statement attached)</t>
  </si>
  <si>
    <t>Contingencies and Commitments</t>
  </si>
  <si>
    <t>CL number</t>
  </si>
  <si>
    <t>0198</t>
  </si>
  <si>
    <t>(Number of units)</t>
  </si>
  <si>
    <t>NUMBER OF UNITS IN ISSUE</t>
  </si>
  <si>
    <t>(Rupees)</t>
  </si>
  <si>
    <t>NET ASSET VALUE PER UNIT</t>
  </si>
  <si>
    <t>MCB - Arif Habib Savings and Investments Limited</t>
  </si>
  <si>
    <t>(Management Company)</t>
  </si>
  <si>
    <t>FOR THE YEAR ENDED JUNE 30, 2017</t>
  </si>
  <si>
    <t>NAV report</t>
  </si>
  <si>
    <t>(Rupees in '000)</t>
  </si>
  <si>
    <t>INCOME</t>
  </si>
  <si>
    <t>Income from government securities</t>
  </si>
  <si>
    <t>Profit on bank deposits</t>
  </si>
  <si>
    <t>Other income</t>
  </si>
  <si>
    <t>Unrealised appreciation on re-measurement of investments classified as</t>
  </si>
  <si>
    <t>at fair value through profit or loss - net</t>
  </si>
  <si>
    <t>Total income</t>
  </si>
  <si>
    <t>As per TB</t>
  </si>
  <si>
    <t>As per 2015 FS</t>
  </si>
  <si>
    <t>EXPENSES</t>
  </si>
  <si>
    <t>2015</t>
  </si>
  <si>
    <t>2014</t>
  </si>
  <si>
    <t>Remuneration of Management Company</t>
  </si>
  <si>
    <t>11</t>
  </si>
  <si>
    <t>Bank Charges</t>
  </si>
  <si>
    <t>Sales tax and Federal Excise Duty on remuneration of Management Company</t>
  </si>
  <si>
    <t>Fees and subscription</t>
  </si>
  <si>
    <t>Remuneration of Central Depository Company of Pakistan Limited - Trustee</t>
  </si>
  <si>
    <t>12</t>
  </si>
  <si>
    <t>Printing and related cost</t>
  </si>
  <si>
    <t>Sindh Sales tax on remuneration of Trustee</t>
  </si>
  <si>
    <t>Auditor's remuneration</t>
  </si>
  <si>
    <t>Securities and Exchange Commission of Pakistan - annual fee</t>
  </si>
  <si>
    <t>Securities transaction cost</t>
  </si>
  <si>
    <t xml:space="preserve">Auditors' remuneration </t>
  </si>
  <si>
    <t>Bank charges</t>
  </si>
  <si>
    <t>Total expenses</t>
  </si>
  <si>
    <t>Net income from operating activities</t>
  </si>
  <si>
    <t>- arising from capital gain and unrealised gain</t>
  </si>
  <si>
    <t>Taxation</t>
  </si>
  <si>
    <t>Net income for the year after taxation</t>
  </si>
  <si>
    <t xml:space="preserve"> </t>
  </si>
  <si>
    <t>Other comprehensive income for the year</t>
  </si>
  <si>
    <t>Items that may be classified to profit and loss account</t>
  </si>
  <si>
    <t xml:space="preserve">    as 'available for sale' - net</t>
  </si>
  <si>
    <t xml:space="preserve">Total comprehensive income for the year </t>
  </si>
  <si>
    <t>Earnings per unit</t>
  </si>
  <si>
    <t>Principal</t>
  </si>
  <si>
    <t>Receivable</t>
  </si>
  <si>
    <t xml:space="preserve">    as available for sale - net</t>
  </si>
  <si>
    <t>DISTRIBUTION STATEMENT</t>
  </si>
  <si>
    <t>Undistributed income brought forward:</t>
  </si>
  <si>
    <t>- Realised gains</t>
  </si>
  <si>
    <t>prices of units issued less those in units redeemed</t>
  </si>
  <si>
    <t>Net income for the year</t>
  </si>
  <si>
    <t>Distributions</t>
  </si>
  <si>
    <t>Final distribution for the year ended June 30, 2016 at Rs 4.25 per unit (date of distribution: June 27, 2016)</t>
  </si>
  <si>
    <t>Dividend rate</t>
  </si>
  <si>
    <t>O/S units</t>
  </si>
  <si>
    <t>Dividend amount</t>
  </si>
  <si>
    <t>Dividend paid</t>
  </si>
  <si>
    <t>Undistributed income carried forward</t>
  </si>
  <si>
    <t>Represented by</t>
  </si>
  <si>
    <t>HFT+AFS Unrealized</t>
  </si>
  <si>
    <t>Last year</t>
  </si>
  <si>
    <t>This year HFT</t>
  </si>
  <si>
    <t>This year AFS</t>
  </si>
  <si>
    <t>Unrealized of Engro to be reversed due to redemption</t>
  </si>
  <si>
    <t>This year</t>
  </si>
  <si>
    <t>- Unrealised gains</t>
  </si>
  <si>
    <t xml:space="preserve">     Chief Executive Officer</t>
  </si>
  <si>
    <t>Director</t>
  </si>
  <si>
    <t>Units</t>
  </si>
  <si>
    <t>Amount</t>
  </si>
  <si>
    <t>STATEMENT OF MOVEMENT IN UNIT HOLDERS' FUND</t>
  </si>
  <si>
    <t>Issuance:</t>
  </si>
  <si>
    <t>Sale</t>
  </si>
  <si>
    <t>Conversion in</t>
  </si>
  <si>
    <t>Transfer in</t>
  </si>
  <si>
    <t>Dividend units</t>
  </si>
  <si>
    <t>Net assets at beginning of the year</t>
  </si>
  <si>
    <t>Redemption:</t>
  </si>
  <si>
    <t>Redemption</t>
  </si>
  <si>
    <t>Web Redemption</t>
  </si>
  <si>
    <t>ATM</t>
  </si>
  <si>
    <t>Conversion out</t>
  </si>
  <si>
    <t>Transfer out</t>
  </si>
  <si>
    <t>prices of units issued less those in units redeemed :</t>
  </si>
  <si>
    <t>- arising from capital gain and unrealised gain - transferred to the Income Statement</t>
  </si>
  <si>
    <t>to the Distribution Statement</t>
  </si>
  <si>
    <t>Net income for the year transferred from the Distribution Statement</t>
  </si>
  <si>
    <t>Other net operating income</t>
  </si>
  <si>
    <t>Distributions made during the year (refer Distribution Statement)</t>
  </si>
  <si>
    <t>Unrealised appreciation / (diminution) on re-measurement of investment classified as</t>
  </si>
  <si>
    <t>available for sale - net</t>
  </si>
  <si>
    <t>As per Balance Sheet</t>
  </si>
  <si>
    <t>Net assets at end of the year</t>
  </si>
  <si>
    <t>For MCB - Arif Habib Savings and Investments Limited</t>
  </si>
  <si>
    <t xml:space="preserve">CASH FLOW STATEMENT </t>
  </si>
  <si>
    <t>Unit holder fund</t>
  </si>
  <si>
    <t>b/d</t>
  </si>
  <si>
    <t>b/d payable on red.</t>
  </si>
  <si>
    <t>Additions - net</t>
  </si>
  <si>
    <t>AFS diminution</t>
  </si>
  <si>
    <t>paid on redemption</t>
  </si>
  <si>
    <t>Issue</t>
  </si>
  <si>
    <t>URG</t>
  </si>
  <si>
    <t>income</t>
  </si>
  <si>
    <t>Reversal of provision</t>
  </si>
  <si>
    <t>c/d payable on red.</t>
  </si>
  <si>
    <t>Other</t>
  </si>
  <si>
    <t>c/d</t>
  </si>
  <si>
    <t>AFS appreciation</t>
  </si>
  <si>
    <t>C/d</t>
  </si>
  <si>
    <t>issued less those in units redeemed - net</t>
  </si>
  <si>
    <t xml:space="preserve">(Increase) / decrease in assets </t>
  </si>
  <si>
    <t>Investments - net</t>
  </si>
  <si>
    <t>Net cash flow</t>
  </si>
  <si>
    <t>Punched</t>
  </si>
  <si>
    <t>Check in printing</t>
  </si>
  <si>
    <t>Advance, deposit and prepayments</t>
  </si>
  <si>
    <t>Increase / (decrease) in liabilities</t>
  </si>
  <si>
    <t>Net impact</t>
  </si>
  <si>
    <t>A</t>
  </si>
  <si>
    <t>Cash received from sale of units</t>
  </si>
  <si>
    <t>Cash paid for redemption of units</t>
  </si>
  <si>
    <t>B</t>
  </si>
  <si>
    <t>Balancing fig</t>
  </si>
  <si>
    <t>WWF</t>
  </si>
  <si>
    <t>(A+B)</t>
  </si>
  <si>
    <t>Cash and cash equivalents at beginning of the year</t>
  </si>
  <si>
    <t>Cash and cash equivalents at end of the year</t>
  </si>
  <si>
    <t xml:space="preserve"> Chief Executive Officer                                                                                      Director</t>
  </si>
  <si>
    <t>LEGAL STATUS AND NATURE OF BUSINESS</t>
  </si>
  <si>
    <t>1.1</t>
  </si>
  <si>
    <t>1.2</t>
  </si>
  <si>
    <t>1.3</t>
  </si>
  <si>
    <t>1.4</t>
  </si>
  <si>
    <t>1.5</t>
  </si>
  <si>
    <t>1.6</t>
  </si>
  <si>
    <t>Financial assets</t>
  </si>
  <si>
    <t>a)</t>
  </si>
  <si>
    <t>b)</t>
  </si>
  <si>
    <t>Impairment</t>
  </si>
  <si>
    <t>Financial liabilities</t>
  </si>
  <si>
    <t>-</t>
  </si>
  <si>
    <t>BALANCES WITH BANKS</t>
  </si>
  <si>
    <t>Government securities</t>
  </si>
  <si>
    <t>Listed debt securities</t>
  </si>
  <si>
    <t>Unlisted debt securities</t>
  </si>
  <si>
    <t>Available for sale</t>
  </si>
  <si>
    <t>Issue date</t>
  </si>
  <si>
    <t xml:space="preserve">Face value </t>
  </si>
  <si>
    <t>Market 
value as a
percentage
of net assets</t>
  </si>
  <si>
    <t>Market
value as a
percentage
of total
investments</t>
  </si>
  <si>
    <t>Carrying value</t>
  </si>
  <si>
    <t>Market 
value</t>
  </si>
  <si>
    <t>Appreciation</t>
  </si>
  <si>
    <t>-------------------------------------------- (Rupees in '000) --------------------------------------------</t>
  </si>
  <si>
    <t>--------------- % ---------------</t>
  </si>
  <si>
    <t>Provision on July 1</t>
  </si>
  <si>
    <t xml:space="preserve">Pace Pakistan Limited  </t>
  </si>
  <si>
    <t>- Reversal against carrying value matured</t>
  </si>
  <si>
    <t>- Charge against face value receivable</t>
  </si>
  <si>
    <t>Certificates have a face value of Rs 5,000 each unless stated otherwise</t>
  </si>
  <si>
    <t>Name of investee company</t>
  </si>
  <si>
    <t>Number of Certificates</t>
  </si>
  <si>
    <t>Purchased during the year</t>
  </si>
  <si>
    <t>Market value</t>
  </si>
  <si>
    <t>value</t>
  </si>
  <si>
    <t>----------Rupees in '000--------</t>
  </si>
  <si>
    <t>%</t>
  </si>
  <si>
    <t>Commercial Banks</t>
  </si>
  <si>
    <t>Total investments</t>
  </si>
  <si>
    <t>Askari Bank Limited (30-9-14 issue)*</t>
  </si>
  <si>
    <t>Real Estate investment and services</t>
  </si>
  <si>
    <t>Pace Pakistan Limited (15-02-08 issue)</t>
  </si>
  <si>
    <t>Non Rated</t>
  </si>
  <si>
    <t>--------- Rupees in '000 --------</t>
  </si>
  <si>
    <t>------------ % ------------</t>
  </si>
  <si>
    <t>Bank Al Habib Limited (17-03-16 issue)</t>
  </si>
  <si>
    <t>Askari Bank Limited (23-12-11 issue)*</t>
  </si>
  <si>
    <t>Construction and Material</t>
  </si>
  <si>
    <t>Cost</t>
  </si>
  <si>
    <t>-------------------------------------------------- (Rupees in '000) --------------------------------------------------</t>
  </si>
  <si>
    <t>Value of investment before provision</t>
  </si>
  <si>
    <t>Provision held, if any</t>
  </si>
  <si>
    <t>Value of investment after provision</t>
  </si>
  <si>
    <t>Percentage of net assets</t>
  </si>
  <si>
    <t>Percentage of gross assets</t>
  </si>
  <si>
    <t>Category of non-compliant investment</t>
  </si>
  <si>
    <t>---------- % ----------</t>
  </si>
  <si>
    <t>Investment in debt securities</t>
  </si>
  <si>
    <t>Provision for federal excise duty and related taxes on</t>
  </si>
  <si>
    <t>- Management fee</t>
  </si>
  <si>
    <t>- Sales load</t>
  </si>
  <si>
    <t>Federal Excise Duty and related tax payable</t>
  </si>
  <si>
    <t>CONTINGENCIES AND COMMITMENTS</t>
  </si>
  <si>
    <t>2017</t>
  </si>
  <si>
    <t>REMUNERATION OF MANAGEMENT COMPANY</t>
  </si>
  <si>
    <t>Management fee</t>
  </si>
  <si>
    <t xml:space="preserve">REMUNERATION OF CENTERAL DEPOSITORY COMPANY </t>
  </si>
  <si>
    <t xml:space="preserve">  OF PAKISTAN LIMITED - TRUSTEE</t>
  </si>
  <si>
    <t>Trustee fee</t>
  </si>
  <si>
    <t>12.1</t>
  </si>
  <si>
    <t>The Trustee is entitled to a monthly remuneration for services rendered to the Fund under the provisions of the Trust Deed. The following tariff structure as amended by the Trustee of the Fund vide Trust deed dated May 18, 2015, is applicable based on net assets of the Fund.</t>
  </si>
  <si>
    <t>Amount of funds under management (Average NAV)</t>
  </si>
  <si>
    <t>Tariff per annum</t>
  </si>
  <si>
    <t>Up to Rs. 1 billion</t>
  </si>
  <si>
    <t>0.17% p.a. of Net Assets</t>
  </si>
  <si>
    <t>Rs. 1 billion to Rs. 5 billion</t>
  </si>
  <si>
    <t>Rs. 1.7 million plus 0.085% p.a. of Net Assets exceeding Rs. 1 billion</t>
  </si>
  <si>
    <t>Over Rs. 5 billion</t>
  </si>
  <si>
    <t>Rs. 5.1 million plus 0.07% p.a. of Net Assets exceeding Rs. 5 billion</t>
  </si>
  <si>
    <t>SINDH SALES TAX ON REMUNERATION OF TRUSTEE</t>
  </si>
  <si>
    <t>ALLOCATED EXPENSES</t>
  </si>
  <si>
    <t>15</t>
  </si>
  <si>
    <t>TAXATION</t>
  </si>
  <si>
    <t>Remuneration including indirect taxes</t>
  </si>
  <si>
    <t>Allocated expenses including indirect taxes</t>
  </si>
  <si>
    <t>Central Depository Company of Pakistan Limited - Trustee</t>
  </si>
  <si>
    <t>MCB Bank Limited</t>
  </si>
  <si>
    <t>Silk Bank Limited</t>
  </si>
  <si>
    <t>Adamjee Insurance Company Limited</t>
  </si>
  <si>
    <t>Remuneration payable</t>
  </si>
  <si>
    <t>Sales load payable</t>
  </si>
  <si>
    <t>Sindh Sales tax payable on remuneration of Trustee</t>
  </si>
  <si>
    <t>Security deposits</t>
  </si>
  <si>
    <t>Profit receivable on bank deposits</t>
  </si>
  <si>
    <t>FINANCIAL RISK MANAGEMENT</t>
  </si>
  <si>
    <t>The Fund's activities expose it to a variety of financial risks: market risk (including currency risk, interest rate and price risk), credit risk and liquidity risk. Risk of the Fund are being managed by the Management Company in accordance with the approved policies of the Investment Committee which provide broad guidelines for management of above mentioned risks. The Board of Directors of Management Company has overall responsibility for the establishment and oversight of the Fund's risk management framework.</t>
  </si>
  <si>
    <t>The Fund primarily invests in a portfolio of money market investments such as investment grade debt securities, government securities and investments in other money market instruments.</t>
  </si>
  <si>
    <t>Market risk</t>
  </si>
  <si>
    <t>Market risk is the risk that the fair value or the future cash flows of a financial instrument may fluctuate as a result of changes in market prices.</t>
  </si>
  <si>
    <t>The Management Company manages market risk by monitoring exposure on marketable securities by following the internal risk management policies and investment guidelines approved by the Board and regulations laid down by the Securities and Exchange Commission of Pakistan and the Non Banking Finance Companies and Notified Entities Regulations, 2008 (the Regulations), The Non Banking Finance Companies (Establishment and Regulation) Rules, 2003 (the Rules).</t>
  </si>
  <si>
    <t>Market risk comprises of three types of risk: currency risk, interest rate risk and other price risk.</t>
  </si>
  <si>
    <t>Currency risk</t>
  </si>
  <si>
    <t>Currency risk is the risk that the fair value or future cash flows of a financial instrument will fluctuate because of changes in foreign exchange rates. The Fund, at present is not exposed to currency risk as all transactions are carried out in Pak Rupees.</t>
  </si>
  <si>
    <t>Interest rate risk</t>
  </si>
  <si>
    <t>Interest rate risk is the risk that the fair value or future cash flows of a financial instrument will fluctuate because of changes in market interest rates. The Fund holds fixed as well as floating rate debt securities that expose the Fund to cash flow and fair value interest rate risk due to fluctuation in prevailing levels of market interest rates.</t>
  </si>
  <si>
    <t>Sensitivity analysis for variable rate instruments</t>
  </si>
  <si>
    <t>Sensitivity analysis for fixed rate instruments</t>
  </si>
  <si>
    <t>Yield / interest rate sensitivity position for on-balance sheet financial instruments is based on the earlier of contractual repricing or maturity date and for off-balance sheet instruments is based on the settlement date.</t>
  </si>
  <si>
    <t>------------------------------------------------------------ June 30, 2017 ------------------------------------------------------------</t>
  </si>
  <si>
    <t>Yield / effective interest rate (%)</t>
  </si>
  <si>
    <t>Up to three months</t>
  </si>
  <si>
    <t>More than three months and up to one year</t>
  </si>
  <si>
    <t>More than one year</t>
  </si>
  <si>
    <t>Not exposed to yield / interest risk</t>
  </si>
  <si>
    <t>Bank balance rates</t>
  </si>
  <si>
    <t>4.5 to 6.5</t>
  </si>
  <si>
    <t>TDR rate</t>
  </si>
  <si>
    <t>------------------------------------------- Rupees in '000 -------------------------------------------</t>
  </si>
  <si>
    <t>On-balance sheet financial instruments</t>
  </si>
  <si>
    <t>Financial Assets</t>
  </si>
  <si>
    <t>Bank Al-Habib Ltd. - TFC (07-02-07)</t>
  </si>
  <si>
    <t>Bank Al-Habib Ltd. - TFC (30-06-11)</t>
  </si>
  <si>
    <t>United Bank Ltd. - TFC (08-09-06)</t>
  </si>
  <si>
    <t>at fair value through profit and loss - net</t>
  </si>
  <si>
    <t>Askari Bank Ltd. - TFC (18-11-09)  ****</t>
  </si>
  <si>
    <t>- Government securities</t>
  </si>
  <si>
    <t>Askari Bank Ltd. - TFC (23-12-11) ****</t>
  </si>
  <si>
    <t>- Listed debt securities</t>
  </si>
  <si>
    <t>Bank Alfalah Ltd. - TFC (02-12-09) - Floating ****</t>
  </si>
  <si>
    <t>- Unlisted debt securities</t>
  </si>
  <si>
    <t xml:space="preserve">Bank Alfalah Ltd. - TFC (20-02-13) </t>
  </si>
  <si>
    <t>Engro Fertilizer Ltd.- PPTFC-1 (18-03-08)   ****</t>
  </si>
  <si>
    <t>Escorts Investment Bank Ltd. - TFC (15-03-07) *</t>
  </si>
  <si>
    <t>Maple Leaf - Sukuk (03-12-07)</t>
  </si>
  <si>
    <t>Pace (Pakistan) Ltd. - TFC (15-02-08)</t>
  </si>
  <si>
    <t>Telecard Ltd. - TFC (27-05-05)</t>
  </si>
  <si>
    <t>Trust Investment Bank Ltd. - TFC (04-07-08)*</t>
  </si>
  <si>
    <t>Financial Liabilities</t>
  </si>
  <si>
    <t>On-balance sheet gap</t>
  </si>
  <si>
    <t>Off-balance sheet financial instruments</t>
  </si>
  <si>
    <t>Payable on redemption of units</t>
  </si>
  <si>
    <t>Price risk</t>
  </si>
  <si>
    <t>Unlisted</t>
  </si>
  <si>
    <t>Listed</t>
  </si>
  <si>
    <t>million</t>
  </si>
  <si>
    <t>In case of a 1% increase / decrease in effective yield as on June 30, 2016, the net assets of the Fund would increase / decrease by Rs. 2.41 million (2015: Rs. 3.345 million).</t>
  </si>
  <si>
    <t>Credit risk</t>
  </si>
  <si>
    <t>Credit risk represents the risk of loss if counterparties fail to perform as contracted. The Fund is exposed to counter party credit risks on investment in term finance certificates and sukuks, loans and receivables, and balances with bank. The credit risk on the fund is limited because the counterparties are financial institutions with reasonably high credit ratings. Investments in Treasury bills and Pakistan Investment Bonds are government backed and hence considered as secured.</t>
  </si>
  <si>
    <t>The Fund has adopted a policy of only dealing with creditworthy counterparties, and obtaining sufficient collateral, where appropriate, as a means of mitigating the risk of financial loss from defaults. This information is supplied by independent rating agencies, where available, and if not available, the Fund uses other publicly available financial information and its own trading records to rate its major customers. The Fund's exposure and the credit ratings of its counterparties are continuously monitored and the aggregate value of transactions concluded is spread amongst approved counterparties.</t>
  </si>
  <si>
    <t>Credit risk from balances with banks and financial institutions is managed in accordance with the Fund's policy. Investments of surplus funds are made only with approved counterparties and within credit limits assigned to each counterparty. Counterparty credit limits are approved by the Board of Directors. The limits are set to minimise the concentration of risk and therefore mitigate financial loss through potential counterparty failure.</t>
  </si>
  <si>
    <t>The Fund's maximum exposure to credit risk related to receivables is the carrying amounts of following financial assets.</t>
  </si>
  <si>
    <t xml:space="preserve">Investments </t>
  </si>
  <si>
    <t>The analysis below summaries the credit rating quality of the Fund's financial assets.</t>
  </si>
  <si>
    <t>Bank Balances by rating category</t>
  </si>
  <si>
    <t>AAA / A1+</t>
  </si>
  <si>
    <t>BANK AL FALAH LIMITED</t>
  </si>
  <si>
    <t>AA / A1+</t>
  </si>
  <si>
    <t>AA+ / A1+</t>
  </si>
  <si>
    <t>FAYSAL BANK LIMITED</t>
  </si>
  <si>
    <t>UNITED BANK LIMITED</t>
  </si>
  <si>
    <t>AA- / A1+</t>
  </si>
  <si>
    <t>Bank Al Habib Limited</t>
  </si>
  <si>
    <t>HABIB METRO BANK</t>
  </si>
  <si>
    <t>The analysis below summarizes the credit quality of the Fund's investment in term finance certificates and sukuks, term deposit receipts and government securities.</t>
  </si>
  <si>
    <t>MCB BANK LIMITED</t>
  </si>
  <si>
    <t>Investments by rating category</t>
  </si>
  <si>
    <t>Mcb Bank Limited</t>
  </si>
  <si>
    <t>NIB BANK LIMITED</t>
  </si>
  <si>
    <t>Government Securities</t>
  </si>
  <si>
    <t>AA, AA-, AA+</t>
  </si>
  <si>
    <t>2.47 (non-performing)</t>
  </si>
  <si>
    <t>PIBs</t>
  </si>
  <si>
    <t>AA (non Traded)</t>
  </si>
  <si>
    <t>Investment in fixed income securities</t>
  </si>
  <si>
    <t>AA- (non Traded)</t>
  </si>
  <si>
    <t>Investment in treasury bills do not expose the Fund to credit risk as the counter party to the investment is the Government of Pakistan and management does not expect to incur any credit loss on such investments.</t>
  </si>
  <si>
    <t>Eden Housing - Sukuk - (31-03-2008 issue)</t>
  </si>
  <si>
    <t xml:space="preserve"> (non Traded)</t>
  </si>
  <si>
    <t>AA (Traded)</t>
  </si>
  <si>
    <t xml:space="preserve">Security deposits </t>
  </si>
  <si>
    <t>A (Traded)</t>
  </si>
  <si>
    <t>Bank Al Falah Limited (20-02-13 issue)</t>
  </si>
  <si>
    <t>A (non Traded)</t>
  </si>
  <si>
    <t xml:space="preserve">Deposits are placed with National Clearing Company of Pakistan Limited (NCCPL) and Central Depository Company of Pakistan Limited (CDC) for the purpose of effecting transaction and settlement of listed securities. It is expected that all securities deposited with NCCPL and CDC will be clearly identified as being assets of the Fund, hence management believes that the Fund is not materially exposed to a credit risk with respect to such parties. </t>
  </si>
  <si>
    <t>AAA (Traded)</t>
  </si>
  <si>
    <t>PACE (15-2-08)</t>
  </si>
  <si>
    <t xml:space="preserve">Concentration of credit risk </t>
  </si>
  <si>
    <t>Concentration of credit risk exists when changes in economic or industry factors similarly affect groups of counterparties whose aggregate credit exposure is significant in relation to the Fund’s total credit exposure. The Fund’s portfolio of financial instruments is broadly diversified and transactions are entered into with diverse credit-worthy counterparties thereby mitigating any significant concentration of credit risk.</t>
  </si>
  <si>
    <t>Settlement risk</t>
  </si>
  <si>
    <t>The Fund's activities may give rise to risk at the time of settlement of transactions. Settlement risk is the risk of loss due to the failure of counter party to honour its obligations to deliver cash, securities or other assets as contractually agreed. Credit risk relating to unsettled transactions in securities is considered to be minimal as the Fund uses brokers with high creditworthiness and the transactions are settled or paid for only upon delivery using central clearing system.</t>
  </si>
  <si>
    <t>Liquidity risk</t>
  </si>
  <si>
    <t>Liquidity risk is the risk that the Fund may not be able to generate sufficient cash resources to settle its obligations in full as they fall due or can only do so on terms that are materially disadvantageous.</t>
  </si>
  <si>
    <t>The Fund is exposed to daily cash redemptions, if any, at the option of unit holders. The Fund's approach to managing liquidity is to ensure, as far as possible, that the Fund will always have sufficient liquidity to meet its liabilities when due under both normal and stressed conditions, without incurring unacceptable losses or risking damage to the Fund's reputation. Its policy is therefore to invest the majority of its assets in investments that are traded in an active market and can be readily disposed and are considered readily realisable.</t>
  </si>
  <si>
    <t>The Fund has the ability to borrow in the short term to ensure settlement. During the current year, the Fund did not avail any borrowing. As per NBFC regulation the maximum amount available to the Fund from the borrowing would be limited to fifteen percent of the net assets up to 90 days and would be secured by the assets of the Fund and bear interest at commercial rates.</t>
  </si>
  <si>
    <t>In order to manage the Fund's overall liquidity, the Fund also has the ability to withhold daily redemption requests in excess of ten percent of the units in issue and such requests would be treated as redemption requests qualifying for being processed on the next business day. Such procedure would continue until the outstanding redemption requests come down to a level below ten percent of the units then in issue. The Fund did not withhold any redemptions during the year.</t>
  </si>
  <si>
    <t>The table below analyses the Fund's financial liabilities into relevant maturity groupings based on the remaining period at the balance sheet date to the contractual maturity date. The amounts in the table are the contractual undiscounted cash flows.</t>
  </si>
  <si>
    <t>June 30, 2017</t>
  </si>
  <si>
    <t>--------------------------- (Rupees in'000) ---------------------------</t>
  </si>
  <si>
    <t xml:space="preserve">  of Pakistan Limited - Trustee</t>
  </si>
  <si>
    <t>of Pakistan Limited - Trustee</t>
  </si>
  <si>
    <t>Financial instruments by category</t>
  </si>
  <si>
    <t>Loans and receivables</t>
  </si>
  <si>
    <t>Assets classified as Available for sale</t>
  </si>
  <si>
    <t>Assets classified at fair value through profit and loss</t>
  </si>
  <si>
    <t>As at 30 June 2013, all the financial assets are carried on the Statement of Assets and Liabilities are categorised either as 'loans and receivables'  or financial assets 'at fair value through profit or loss'. All the financial liabilities carried on the Statement of Assets and Liabilities are categorised as other financial liabilities i.e. liabilities other than 'at fair value through profit or loss'.</t>
  </si>
  <si>
    <t>---------------------------------- (Rupees in'000) ----------------------------------</t>
  </si>
  <si>
    <t>Liabilities at fair value through profit and loss</t>
  </si>
  <si>
    <t>Other financial liabilities</t>
  </si>
  <si>
    <t>------------------------(Rupees in'000)------------------------</t>
  </si>
  <si>
    <t>Unit holders' fund risk management</t>
  </si>
  <si>
    <t xml:space="preserve">The Fund's capital is represented by redeemable units. The Fund is required by the NBFC Regulations, 2008, to maintain minimum fund size to Rs. 100 million during the life of the scheme. The units issued by the Fund provides an investor with the right to require redemption for cash at a value proportionate to the unit holder's share in the Fund's net assets at the redemption date. </t>
  </si>
  <si>
    <t>------------------------ (Rupees in'000) ------------------------</t>
  </si>
  <si>
    <t>Payable to Management Company</t>
  </si>
  <si>
    <t>Payable to Central Depository Company of Pakistan Limited- Trustee</t>
  </si>
  <si>
    <t>Fair value of financial instruments</t>
  </si>
  <si>
    <t>Fair value is the amount for which an asset could be exchanged, or liability settled, between knowledgeable willing parties in an arm's length transaction. Consequently, differences can arise between carrying values and the fair value estimates.</t>
  </si>
  <si>
    <t>Underlying the definition of fair value is the presumption that the Fund is a going concern without any intention or requirement to curtail materially the scale of its operations or to undertake a transaction on adverse terms.</t>
  </si>
  <si>
    <t>Financial assets which are tradable in an open market are revalued at the market prices prevailing on the balance sheet date. The estimated fair value of all other financial assets and liabilities is considered not significantly different from book values as the items are either short term in nature or periodically repriced.</t>
  </si>
  <si>
    <t>International Financial Reporting Standard 7, Financial Instruments : Disclosure requires an entity shall classify fair value measurements using a fair value hierarchy that reflects the significance of the inputs used in making the measurements. The fair value hierarchy  has the following levels:</t>
  </si>
  <si>
    <t>Level 1:</t>
  </si>
  <si>
    <t>Quoted prices (unadjusted) in active markets for identical assets or liabilities.</t>
  </si>
  <si>
    <t>Level 2:</t>
  </si>
  <si>
    <t>Inputs other than quoted prices included within level 1 that are observable for the asset or liability, either directly (that is, as prices) or indirectly (that is, derived from prices).</t>
  </si>
  <si>
    <t>Level 3:</t>
  </si>
  <si>
    <t>Inputs for the assets or liability that are not based on observable market data (that is, unobservable inputs).</t>
  </si>
  <si>
    <t>The level in the fair value hierarchy within which the fair value measurement is categorised in its entirety shall be determined on the basis of the lowest level input that is significant to the fair value measurement in its entirety.</t>
  </si>
  <si>
    <t>Level 1</t>
  </si>
  <si>
    <t>Level 2</t>
  </si>
  <si>
    <t>Level 3</t>
  </si>
  <si>
    <t>--------------------------------- (Rupees in '000) ---------------------------------</t>
  </si>
  <si>
    <t>Investments classified at fair value through</t>
  </si>
  <si>
    <t xml:space="preserve">  profit and loss</t>
  </si>
  <si>
    <t>UNIT HOLDERS' FUND RISK MANAGEMENT</t>
  </si>
  <si>
    <t>The Fund's objective in managing the unit holders' fund is to ensure a stable base to maximise returns to all investors and to manage liquidity risk arising from redemption. In accordance with the risk management policies, the Fund endeavors to invest the subscriptions received inappropriate investments while maintaining sufficient liquidity to meet redemption, such liquidity being augmented by disposal of investments.</t>
  </si>
  <si>
    <t>GENERAL</t>
  </si>
  <si>
    <t>DATE OF AUTHORIZATION FOR ISSUE</t>
  </si>
  <si>
    <t>These financial statements were authorized for issue on ______________ by the Board of Directors of the Management Company.</t>
  </si>
  <si>
    <t>(Reserved for System Use - Do Not Delete)</t>
  </si>
  <si>
    <t>Bank of Punjab (23-12-16 issue)</t>
  </si>
  <si>
    <t>DALACCT._7379868200999998441DELIM_7379868200999998667</t>
  </si>
  <si>
    <t>010700200001</t>
  </si>
  <si>
    <t>5170.1</t>
  </si>
  <si>
    <t/>
  </si>
  <si>
    <t>5110.1</t>
  </si>
  <si>
    <t>5120.1</t>
  </si>
  <si>
    <t>5130.1</t>
  </si>
  <si>
    <t>5130.3</t>
  </si>
  <si>
    <t>5130.4</t>
  </si>
  <si>
    <t>5130.5</t>
  </si>
  <si>
    <t>5140.1</t>
  </si>
  <si>
    <t>5150.1</t>
  </si>
  <si>
    <t>5160.1</t>
  </si>
  <si>
    <t>5160.2</t>
  </si>
  <si>
    <t>5160.3</t>
  </si>
  <si>
    <t>5160.4</t>
  </si>
  <si>
    <t>5160.5</t>
  </si>
  <si>
    <t>5160.6</t>
  </si>
  <si>
    <t>5170.2</t>
  </si>
  <si>
    <t>5170.3</t>
  </si>
  <si>
    <t>5170.4</t>
  </si>
  <si>
    <t>5170.5</t>
  </si>
  <si>
    <t>5170.6</t>
  </si>
  <si>
    <t>5170.7</t>
  </si>
  <si>
    <t>6110.1</t>
  </si>
  <si>
    <t>6120.1</t>
  </si>
  <si>
    <t>6130.1</t>
  </si>
  <si>
    <t>6140.1</t>
  </si>
  <si>
    <t>6150.1</t>
  </si>
  <si>
    <t>6160.1</t>
  </si>
  <si>
    <t>6170.1</t>
  </si>
  <si>
    <t>6180</t>
  </si>
  <si>
    <t>7110.1</t>
  </si>
  <si>
    <t>7210.1</t>
  </si>
  <si>
    <t>7220.2</t>
  </si>
  <si>
    <t>7230</t>
  </si>
  <si>
    <t>7230.1</t>
  </si>
  <si>
    <t>7230.2</t>
  </si>
  <si>
    <t>8110.1</t>
  </si>
  <si>
    <t>8111</t>
  </si>
  <si>
    <t>8120.1</t>
  </si>
  <si>
    <t>8130.1</t>
  </si>
  <si>
    <t>8130.2</t>
  </si>
  <si>
    <t>8130.3</t>
  </si>
  <si>
    <t>8130.4</t>
  </si>
  <si>
    <t>8133</t>
  </si>
  <si>
    <t>8140.1</t>
  </si>
  <si>
    <t>8140.2</t>
  </si>
  <si>
    <t>8150.1</t>
  </si>
  <si>
    <t>8160.1</t>
  </si>
  <si>
    <t>8160.2</t>
  </si>
  <si>
    <t>8170.1</t>
  </si>
  <si>
    <t>8180.1</t>
  </si>
  <si>
    <t>9110.1</t>
  </si>
  <si>
    <t>9110.2</t>
  </si>
  <si>
    <t>010100100001</t>
  </si>
  <si>
    <t>010100100005</t>
  </si>
  <si>
    <t>010100100011</t>
  </si>
  <si>
    <t>010100100014</t>
  </si>
  <si>
    <t>010100100015</t>
  </si>
  <si>
    <t>010100100017</t>
  </si>
  <si>
    <t>010100100021</t>
  </si>
  <si>
    <t>010100100027</t>
  </si>
  <si>
    <t>010100100040</t>
  </si>
  <si>
    <t>010100100054</t>
  </si>
  <si>
    <t>010100100069</t>
  </si>
  <si>
    <t>010100100072</t>
  </si>
  <si>
    <t>010100100075</t>
  </si>
  <si>
    <t>010100100077</t>
  </si>
  <si>
    <t>010100100078</t>
  </si>
  <si>
    <t>010100100079</t>
  </si>
  <si>
    <t>010100100080</t>
  </si>
  <si>
    <t>010100100082</t>
  </si>
  <si>
    <t>010100100085</t>
  </si>
  <si>
    <t>010100100087</t>
  </si>
  <si>
    <t>010500100001</t>
  </si>
  <si>
    <t>010500200001</t>
  </si>
  <si>
    <t>010500200002</t>
  </si>
  <si>
    <t>010200100001</t>
  </si>
  <si>
    <t>010300900001</t>
  </si>
  <si>
    <t>010300900002</t>
  </si>
  <si>
    <t>010300900003</t>
  </si>
  <si>
    <t>010300900009</t>
  </si>
  <si>
    <t>010600100001</t>
  </si>
  <si>
    <t>010600300006</t>
  </si>
  <si>
    <t>010600300007</t>
  </si>
  <si>
    <t>010600300008</t>
  </si>
  <si>
    <t>010300300001</t>
  </si>
  <si>
    <t>010300300002</t>
  </si>
  <si>
    <t>010300300003</t>
  </si>
  <si>
    <t>010300400001</t>
  </si>
  <si>
    <t>010300400002</t>
  </si>
  <si>
    <t>010300400003</t>
  </si>
  <si>
    <t>010301300001</t>
  </si>
  <si>
    <t>010301300002</t>
  </si>
  <si>
    <t>010301300003</t>
  </si>
  <si>
    <t>010300100001</t>
  </si>
  <si>
    <t>010300100002</t>
  </si>
  <si>
    <t>010300700001</t>
  </si>
  <si>
    <t>010302400001</t>
  </si>
  <si>
    <t>010302900001</t>
  </si>
  <si>
    <t>010602100001</t>
  </si>
  <si>
    <t>010601100001</t>
  </si>
  <si>
    <t>010601100005</t>
  </si>
  <si>
    <t>010601100011</t>
  </si>
  <si>
    <t>010601100014</t>
  </si>
  <si>
    <t>010601100015</t>
  </si>
  <si>
    <t>010601100017</t>
  </si>
  <si>
    <t>010601100027</t>
  </si>
  <si>
    <t>010601100072</t>
  </si>
  <si>
    <t>010601100077</t>
  </si>
  <si>
    <t>010601100079</t>
  </si>
  <si>
    <t>010601100080</t>
  </si>
  <si>
    <t>01060110075</t>
  </si>
  <si>
    <t>010601300001</t>
  </si>
  <si>
    <t>010601500001</t>
  </si>
  <si>
    <t>010600200001</t>
  </si>
  <si>
    <t>010600400001</t>
  </si>
  <si>
    <t>010601200001</t>
  </si>
  <si>
    <t>010601200002</t>
  </si>
  <si>
    <t>010601600001</t>
  </si>
  <si>
    <t>010600500001</t>
  </si>
  <si>
    <t>01110090009</t>
  </si>
  <si>
    <t>010700700005</t>
  </si>
  <si>
    <t>010700700007</t>
  </si>
  <si>
    <t>010700300001</t>
  </si>
  <si>
    <t>010700400002</t>
  </si>
  <si>
    <t>01070110009</t>
  </si>
  <si>
    <t>010700500001</t>
  </si>
  <si>
    <t>010700500003</t>
  </si>
  <si>
    <t>010700600001</t>
  </si>
  <si>
    <t>010700700001</t>
  </si>
  <si>
    <t>010700700009</t>
  </si>
  <si>
    <t>010602200001</t>
  </si>
  <si>
    <t>010602200002</t>
  </si>
  <si>
    <t>030100100001</t>
  </si>
  <si>
    <t>030100600001</t>
  </si>
  <si>
    <t>031001200001</t>
  </si>
  <si>
    <t>031200100001</t>
  </si>
  <si>
    <t>030200100001</t>
  </si>
  <si>
    <t>030400100001</t>
  </si>
  <si>
    <t>030700100001</t>
  </si>
  <si>
    <t>030500100001</t>
  </si>
  <si>
    <t>010700700003</t>
  </si>
  <si>
    <t>030100200001</t>
  </si>
  <si>
    <t>030100700001</t>
  </si>
  <si>
    <t>030100800001</t>
  </si>
  <si>
    <t>030100900001</t>
  </si>
  <si>
    <t>030900100001</t>
  </si>
  <si>
    <t>031000400002</t>
  </si>
  <si>
    <t>031000500001</t>
  </si>
  <si>
    <t>031000500003</t>
  </si>
  <si>
    <t>031000600001</t>
  </si>
  <si>
    <t>031000700001</t>
  </si>
  <si>
    <t>031000800001</t>
  </si>
  <si>
    <t>031000900002</t>
  </si>
  <si>
    <t>031001500001</t>
  </si>
  <si>
    <t>031001600001</t>
  </si>
  <si>
    <t>031001700001</t>
  </si>
  <si>
    <t>03130090009</t>
  </si>
  <si>
    <t>020400400001</t>
  </si>
  <si>
    <t>020300100001</t>
  </si>
  <si>
    <t>020100100001</t>
  </si>
  <si>
    <t>020100200001</t>
  </si>
  <si>
    <t>020100300001</t>
  </si>
  <si>
    <t>020100400001</t>
  </si>
  <si>
    <t>020200200001</t>
  </si>
  <si>
    <t>020500100001</t>
  </si>
  <si>
    <t>020200100001</t>
  </si>
  <si>
    <t>040100100001</t>
  </si>
  <si>
    <t>040100200001</t>
  </si>
  <si>
    <t>040100300001</t>
  </si>
  <si>
    <t>040100400001</t>
  </si>
  <si>
    <t>040101300001</t>
  </si>
  <si>
    <t>040202100001</t>
  </si>
  <si>
    <t>040200300001</t>
  </si>
  <si>
    <t>040200300002</t>
  </si>
  <si>
    <t>040201400001</t>
  </si>
  <si>
    <t>0407002001</t>
  </si>
  <si>
    <t>050400200001</t>
  </si>
  <si>
    <t>040200400001</t>
  </si>
  <si>
    <t>040201500002</t>
  </si>
  <si>
    <t>040201600001</t>
  </si>
  <si>
    <t>05030030004</t>
  </si>
  <si>
    <t>040200200001</t>
  </si>
  <si>
    <t>040300100001</t>
  </si>
  <si>
    <t>040300300001</t>
  </si>
  <si>
    <t>04080090009</t>
  </si>
  <si>
    <t>040200100001</t>
  </si>
  <si>
    <t>040200100005</t>
  </si>
  <si>
    <t>040200100011</t>
  </si>
  <si>
    <t>040200100014</t>
  </si>
  <si>
    <t>040200100015</t>
  </si>
  <si>
    <t>040200100017</t>
  </si>
  <si>
    <t>040200100021</t>
  </si>
  <si>
    <t>040200100027</t>
  </si>
  <si>
    <t>040200100029</t>
  </si>
  <si>
    <t>040200100034</t>
  </si>
  <si>
    <t>040200100069</t>
  </si>
  <si>
    <t>040200100072</t>
  </si>
  <si>
    <t>040200100075</t>
  </si>
  <si>
    <t>040200100077</t>
  </si>
  <si>
    <t>040200100078</t>
  </si>
  <si>
    <t>040200100079</t>
  </si>
  <si>
    <t>040200100080</t>
  </si>
  <si>
    <t>040200100082</t>
  </si>
  <si>
    <t>040101200001</t>
  </si>
  <si>
    <t>040101400001</t>
  </si>
  <si>
    <t>040101500001</t>
  </si>
  <si>
    <t>040101600001</t>
  </si>
  <si>
    <t>040101000001</t>
  </si>
  <si>
    <t>0407001001</t>
  </si>
  <si>
    <t>050400100001</t>
  </si>
  <si>
    <t>050100100001</t>
  </si>
  <si>
    <t>050100100002</t>
  </si>
  <si>
    <t>050100100003</t>
  </si>
  <si>
    <t>050100200001</t>
  </si>
  <si>
    <t>050100300001</t>
  </si>
  <si>
    <t>050200100001</t>
  </si>
  <si>
    <t>050200100002</t>
  </si>
  <si>
    <t>050200300001</t>
  </si>
  <si>
    <t>050200300002</t>
  </si>
  <si>
    <t>050200300003</t>
  </si>
  <si>
    <t>050600200001</t>
  </si>
  <si>
    <t>051000100001</t>
  </si>
  <si>
    <t>051000100003</t>
  </si>
  <si>
    <t>051000100007</t>
  </si>
  <si>
    <t>051000100008</t>
  </si>
  <si>
    <t>051000100009</t>
  </si>
  <si>
    <t>051000100010</t>
  </si>
  <si>
    <t>051000100013</t>
  </si>
  <si>
    <t>051000100016</t>
  </si>
  <si>
    <t>051000100017</t>
  </si>
  <si>
    <t>051000100020</t>
  </si>
  <si>
    <t>051000100021</t>
  </si>
  <si>
    <t>051000100022</t>
  </si>
  <si>
    <t>051000100023</t>
  </si>
  <si>
    <t>051000100024</t>
  </si>
  <si>
    <t>051000100025</t>
  </si>
  <si>
    <t>051000100026</t>
  </si>
  <si>
    <t>051000100028</t>
  </si>
  <si>
    <t>050600300005</t>
  </si>
  <si>
    <t>050600300006</t>
  </si>
  <si>
    <t>050600300008</t>
  </si>
  <si>
    <t>050600300009</t>
  </si>
  <si>
    <t>050600300010</t>
  </si>
  <si>
    <t>050600400001</t>
  </si>
  <si>
    <t>05020050001</t>
  </si>
  <si>
    <t>050700100001</t>
  </si>
  <si>
    <t>050700200001</t>
  </si>
  <si>
    <t>050600100001</t>
  </si>
  <si>
    <t>050600100002</t>
  </si>
  <si>
    <t>050500100001</t>
  </si>
  <si>
    <t>050500100002</t>
  </si>
  <si>
    <t>050100200002</t>
  </si>
  <si>
    <t>050100500001</t>
  </si>
  <si>
    <t>050100500002</t>
  </si>
  <si>
    <t>040400100001</t>
  </si>
  <si>
    <t>040400200001</t>
  </si>
  <si>
    <t>Receivable against sale of equity securities</t>
  </si>
  <si>
    <t>Advance against subscription of Term Finance Certificate</t>
  </si>
  <si>
    <t>DALACCT._7379868200999998534DELIM_7379868200999998666</t>
  </si>
  <si>
    <t>DALACCT._7379868200999998467DELIM_7379868200999998661</t>
  </si>
  <si>
    <t>DALACCT._7379868200999998454DELIM_7379868200999998665</t>
  </si>
  <si>
    <t>Payable against purchase of equity securities</t>
  </si>
  <si>
    <t>Dividend income</t>
  </si>
  <si>
    <t>Receivable against marginal trading system</t>
  </si>
  <si>
    <t>Amortization on commercial papers</t>
  </si>
  <si>
    <t>DALACCT.2477818093500001082DELIM_7379868200999998661</t>
  </si>
  <si>
    <t>OTHER PAYABLE</t>
  </si>
  <si>
    <t>031001900001</t>
  </si>
  <si>
    <r>
      <t>Unrealized - Opening (</t>
    </r>
    <r>
      <rPr>
        <b/>
        <i/>
        <sz val="10"/>
        <color indexed="10"/>
        <rFont val="Calibri"/>
        <family val="2"/>
      </rPr>
      <t>As per FS</t>
    </r>
    <r>
      <rPr>
        <b/>
        <sz val="10"/>
        <rFont val="Calibri"/>
        <family val="2"/>
      </rPr>
      <t>)</t>
    </r>
  </si>
  <si>
    <t>Opening HFT</t>
  </si>
  <si>
    <t>Opening AFS</t>
  </si>
  <si>
    <t>Total opening</t>
  </si>
  <si>
    <t>AFS</t>
  </si>
  <si>
    <t>Closing</t>
  </si>
  <si>
    <t>HFT</t>
  </si>
  <si>
    <t>Opening-HFT</t>
  </si>
  <si>
    <t>Current year</t>
  </si>
  <si>
    <t>Closing-HFT</t>
  </si>
  <si>
    <t>TFC</t>
  </si>
  <si>
    <t>T-Bill</t>
  </si>
  <si>
    <t>Closing unrealised</t>
  </si>
  <si>
    <t>Engro TFC</t>
  </si>
  <si>
    <t>Year</t>
  </si>
  <si>
    <t>Opening</t>
  </si>
  <si>
    <t>Buy</t>
  </si>
  <si>
    <t>Sell</t>
  </si>
  <si>
    <t>Closing Carrying Cost</t>
  </si>
  <si>
    <t>Historical Cost</t>
  </si>
  <si>
    <t>Weighted Average</t>
  </si>
  <si>
    <t>Realised on Sale</t>
  </si>
  <si>
    <t>CY Unrealised</t>
  </si>
  <si>
    <t>UNR - Real</t>
  </si>
  <si>
    <t>Cumulative Unrealised</t>
  </si>
  <si>
    <t>As per FS</t>
  </si>
  <si>
    <t>AD</t>
  </si>
  <si>
    <t>BULK</t>
  </si>
  <si>
    <t>CONVERSION_IN</t>
  </si>
  <si>
    <t>CONVERSION_OUT</t>
  </si>
  <si>
    <t>Online Investment</t>
  </si>
  <si>
    <t>REDEMPTION</t>
  </si>
  <si>
    <t>REVLOD</t>
  </si>
  <si>
    <t>REVSOU</t>
  </si>
  <si>
    <t>SALE</t>
  </si>
  <si>
    <t>TRANSFER_IN</t>
  </si>
  <si>
    <t>TRANSFER_OUT</t>
  </si>
  <si>
    <t>WEB REDEMPTION</t>
  </si>
  <si>
    <t>(blank)</t>
  </si>
  <si>
    <t>DIVIDEND_ANNOUNCMENT</t>
  </si>
  <si>
    <r>
      <t>Deloitte</t>
    </r>
    <r>
      <rPr>
        <b/>
        <sz val="24"/>
        <color rgb="FF92D400"/>
        <rFont val="Calibri"/>
        <family val="2"/>
        <scheme val="minor"/>
      </rPr>
      <t>.</t>
    </r>
  </si>
  <si>
    <t>Bifurcation of Realised Element</t>
  </si>
  <si>
    <t>Date</t>
  </si>
  <si>
    <t>Element of income total through PnL</t>
  </si>
  <si>
    <t>Net income</t>
  </si>
  <si>
    <t>Net income excluding element income</t>
  </si>
  <si>
    <t>Capital gain during the day</t>
  </si>
  <si>
    <t>Element pertaining to Capital Gain</t>
  </si>
  <si>
    <t>Element pertaining to Distibutable income</t>
  </si>
  <si>
    <t>MCB Pakistan Income Enhancement Fund</t>
  </si>
  <si>
    <t>Audit for the Year Ended June 30, 2017</t>
  </si>
  <si>
    <t xml:space="preserve">Realised Element </t>
  </si>
  <si>
    <t>Receivable from National Clearing Company of Pakistan Limited</t>
  </si>
  <si>
    <t>Receivable against sale of equity securities - net</t>
  </si>
  <si>
    <t>Under the provisions of the NBFC Regulations, the Fund is required to pay as an annual fee to the SECP, equal to 0.075% of the average annual net assets of the Fund.</t>
  </si>
  <si>
    <t>TFCs</t>
  </si>
  <si>
    <t>3.75% to 8%</t>
  </si>
  <si>
    <t>5.77% to 5.97%</t>
  </si>
  <si>
    <t>7.26% to 8.64%</t>
  </si>
  <si>
    <t>6.53% to 8.36%</t>
  </si>
  <si>
    <t>6.01% to 9%</t>
  </si>
  <si>
    <t xml:space="preserve">   Company of Pakistan Limited</t>
  </si>
  <si>
    <t>Receivable from National Clearing</t>
  </si>
  <si>
    <t xml:space="preserve">    of Pakistan Limited - Trustee</t>
  </si>
  <si>
    <t>Allied bank</t>
  </si>
  <si>
    <t>HABIB METROPOLITAN BANK</t>
  </si>
  <si>
    <t>bank al habib limited</t>
  </si>
  <si>
    <t>Zarai Taraqiati Bank Limited - Shafi Court Branch</t>
  </si>
  <si>
    <t>Js Bank Limited - Ocean Tower, Clifton Branch</t>
  </si>
  <si>
    <t>NRSP Microfinance Bank Limited</t>
  </si>
  <si>
    <t>Mobilink Microfinance Bank Limited</t>
  </si>
  <si>
    <t>U Microfinance Bank Limited</t>
  </si>
  <si>
    <t>Khushali Microfinance Bank Limited</t>
  </si>
  <si>
    <t>Tameer Microfinance Bank</t>
  </si>
  <si>
    <t>Finca Micro Finance Bank (Liaquatabad Branch)</t>
  </si>
  <si>
    <t>Habib Bank Limited - Kse Branch</t>
  </si>
  <si>
    <t xml:space="preserve">A-1+ </t>
  </si>
  <si>
    <t>A-1+</t>
  </si>
  <si>
    <t>AAA</t>
  </si>
  <si>
    <t xml:space="preserve">AA- </t>
  </si>
  <si>
    <t>A-1</t>
  </si>
  <si>
    <t>A-2</t>
  </si>
  <si>
    <t>A-</t>
  </si>
  <si>
    <t>A+</t>
  </si>
  <si>
    <t>AA+</t>
  </si>
  <si>
    <t>AA</t>
  </si>
  <si>
    <t>A- / A-2</t>
  </si>
  <si>
    <t xml:space="preserve">AAA / A1+ </t>
  </si>
  <si>
    <t xml:space="preserve">AA-  / A1+ </t>
  </si>
  <si>
    <t xml:space="preserve">AA+ / A1+ </t>
  </si>
  <si>
    <t>A / A1</t>
  </si>
  <si>
    <t>A+ / A1</t>
  </si>
  <si>
    <t>PIBs and T-bill</t>
  </si>
  <si>
    <t>Commercial papers (JS)</t>
  </si>
  <si>
    <t>Receivable from National Clearing Company of Pakistan</t>
  </si>
  <si>
    <t>Askari Bank Limited</t>
  </si>
  <si>
    <t>Bank Al-Falah Limited</t>
  </si>
  <si>
    <t>Habib Bank Limited</t>
  </si>
  <si>
    <t>The Bank of Punjab</t>
  </si>
  <si>
    <t>sold</t>
  </si>
  <si>
    <t xml:space="preserve">Commercial papers </t>
  </si>
  <si>
    <t>Profit / mark-up rates</t>
  </si>
  <si>
    <t>Maturity date</t>
  </si>
  <si>
    <t>Amortised cost</t>
  </si>
  <si>
    <t>Pak Elektron Limited</t>
  </si>
  <si>
    <t>ZTBL</t>
  </si>
  <si>
    <t>Dividend and profit receivable</t>
  </si>
  <si>
    <t xml:space="preserve">Unrealized appreciation / (diminution) in value of investments classified </t>
  </si>
  <si>
    <t>Income from Term Finance Certificates</t>
  </si>
  <si>
    <t>Income from Term Deposit Receipts</t>
  </si>
  <si>
    <t>Markup income on margin trading system</t>
  </si>
  <si>
    <t>Issue of 107,991,132 units (2016: 123,986,475 units)</t>
  </si>
  <si>
    <t>`</t>
  </si>
  <si>
    <t>(including 1,035,718 units (2016: 1,670,591 units) reinvested by the unitholders against their dividend entitlement amounting to Rs. 54.93 million (2016: Rs. 88.02 million) - net of tax)</t>
  </si>
  <si>
    <t>Capital gain / (loss) on sale of investments</t>
  </si>
  <si>
    <t>issued Iess those in units redeemed - amount representing unrealised income</t>
  </si>
  <si>
    <t xml:space="preserve">Net element of (income) / loss and capital (gains) / losses included in </t>
  </si>
  <si>
    <t xml:space="preserve">- amount representing (income) / loss and capital (gains) / losses - transferred </t>
  </si>
  <si>
    <t xml:space="preserve">Net element of (loss) / income and capital (losses) / gains included in prices of units </t>
  </si>
  <si>
    <t>Carrying value*</t>
  </si>
  <si>
    <t>Market value** as a percentage of total investment</t>
  </si>
  <si>
    <t>- Commercial papers</t>
  </si>
  <si>
    <t>- Term deposit receipt</t>
  </si>
  <si>
    <t>Term deposit receipt</t>
  </si>
  <si>
    <t>Chief Executive Officer                                                                                                                         Director</t>
  </si>
  <si>
    <t>Type of Investment/ Name of Company</t>
  </si>
  <si>
    <t>More than
one year</t>
  </si>
  <si>
    <t>Provision / (reversal) against non-performing investments - net</t>
  </si>
  <si>
    <t>Net cash generated from / (used in) operating activities</t>
  </si>
  <si>
    <t>Net cash (used in) / generated from financing activities</t>
  </si>
  <si>
    <t>Net (decrease) / increase in cash and cash equivalents during the year</t>
  </si>
  <si>
    <t>Redemption of 122,523,038 units (2016: 95,938,520 units)</t>
  </si>
  <si>
    <t>A.</t>
  </si>
  <si>
    <t>CASH FLOWS FROM OPERATING ACTIVITIES</t>
  </si>
  <si>
    <t>B.</t>
  </si>
  <si>
    <t>CASH FLOWS FROM FINANCING ACTIVITIES</t>
  </si>
  <si>
    <t xml:space="preserve">Eden Housing Limited - Sukuk - </t>
  </si>
  <si>
    <t>Final distribution for the year ended June 30, 2017 at Rs 2.75 per unit (date of distribution: June 22, 2017)</t>
  </si>
  <si>
    <t>Expense</t>
  </si>
  <si>
    <t>Reversal</t>
  </si>
  <si>
    <t>Amortisation on PIB</t>
  </si>
  <si>
    <t>Expesen+amor</t>
  </si>
  <si>
    <t>Expesen+amor-SWWF</t>
  </si>
  <si>
    <t>Other expenses</t>
  </si>
  <si>
    <t>The Unit Holder's Fund is represented by redeemable units. They are entitled to distribution and to payment of a proportionate share based on the Fund's net asset value per share on the redemption date. The relevant movements are shown on the statement of movement of unit holders' fund.</t>
  </si>
  <si>
    <t>The Fund's capital is represented by redeemable units. The Fund has no restrictions on the subscription and redemption of units. The Fund is required by the NBFC Regulations, 2008, to maintain minimum fund size to Rs. 100 million during the life of the scheme. The units issued by the Fund provides an investor with the right to require redemption for cash at a value proportionate to the unit holder's share in the Fund's net assets at the redemption date.</t>
  </si>
  <si>
    <t>Carrying value as a
percentage
of net assets</t>
  </si>
  <si>
    <t>Element of loss / (income) and capital losses / (gains) included in prices of units</t>
  </si>
  <si>
    <t>From PIB</t>
  </si>
  <si>
    <t>25.1.1</t>
  </si>
  <si>
    <t>25.1.2</t>
  </si>
  <si>
    <t>25.1.3</t>
  </si>
  <si>
    <t xml:space="preserve">- arising from income other than capital gain and unrealized gain - transferred </t>
  </si>
  <si>
    <t xml:space="preserve">      to the Income Statement</t>
  </si>
  <si>
    <t>Listed equity securities 'at fair value through profit or loss'</t>
  </si>
  <si>
    <t>Name of the Investee Company</t>
  </si>
  <si>
    <t>Market value as a percentage of net assets</t>
  </si>
  <si>
    <t xml:space="preserve">  Market value as a percentage of total investments</t>
  </si>
  <si>
    <t>Paid up Capital of Investee in Rs.</t>
  </si>
  <si>
    <t>Carrying Value</t>
  </si>
  <si>
    <t xml:space="preserve"> Appreciation / (diminution)</t>
  </si>
  <si>
    <t>Jun 30, 2017</t>
  </si>
  <si>
    <t>Net Assets</t>
  </si>
  <si>
    <t>Total investment</t>
  </si>
  <si>
    <t>----------------------- Number of shares ------------------------</t>
  </si>
  <si>
    <t>---------------Rupees in '000'-----------------</t>
  </si>
  <si>
    <t>-------------------- % -------------------</t>
  </si>
  <si>
    <t>Fauji Cement Company Limited</t>
  </si>
  <si>
    <t>*</t>
  </si>
  <si>
    <t>Maple Leaf Cement Factory Limited</t>
  </si>
  <si>
    <t>Pioneer Cement Limited</t>
  </si>
  <si>
    <t>International Steels Limited</t>
  </si>
  <si>
    <t>Engro Corporation Limited</t>
  </si>
  <si>
    <t>Oil &amp; Gas Development Company Limited</t>
  </si>
  <si>
    <t>Pakistan Petroleum Limited</t>
  </si>
  <si>
    <t>Hub Power Company Limited</t>
  </si>
  <si>
    <t>Attock Refinery Limited</t>
  </si>
  <si>
    <t>Nishat Mills Limited</t>
  </si>
  <si>
    <t>Amreli Steels Limited</t>
  </si>
  <si>
    <t>Fauji Fertilizer Bin Qasim Limited</t>
  </si>
  <si>
    <t xml:space="preserve">Shares of listed companies - fully paid ordinary shares / certificates of Rs. 10 each </t>
  </si>
  <si>
    <t>Listed equity securities</t>
  </si>
  <si>
    <t>Payable to Central Depository Company of Pakistan Limited - Trustee</t>
  </si>
  <si>
    <t>Dividend payable</t>
  </si>
  <si>
    <t xml:space="preserve">Payable to Central Depository Company </t>
  </si>
  <si>
    <t>Figures have been rounded off to the nearest thousand Rupees.</t>
  </si>
  <si>
    <t>Reversal of Worker's Welfare Fund - net</t>
  </si>
  <si>
    <t>2018</t>
  </si>
  <si>
    <t>As at June 30, 2018, the investment in debt securities exposed to interest rate is detailed in Note 6.2, 6.3, 6.4 and 6.5 to these financial statements.</t>
  </si>
  <si>
    <t xml:space="preserve">The composition of the Fund's investment portfolio, KIBOR rates and rates announced by FMAP is expected to change over time. Accordingly, the sensitivity analysis prepared as of June 30, 2018 is not necessarily indicative of the impact on the Fund's net assets of future movements in interest rates. </t>
  </si>
  <si>
    <t>------------------------------------------------------------ June 30, 2018 ------------------------------------------------------------</t>
  </si>
  <si>
    <t xml:space="preserve">    Company of Pakistan Limited</t>
  </si>
  <si>
    <t>June 30, 2018</t>
  </si>
  <si>
    <t>----------------------------------- June 30, 2018 -----------------------------------</t>
  </si>
  <si>
    <t>As at June 30, 2018</t>
  </si>
  <si>
    <t>DALACCT.2799274689400000019DELIM_7379868200999998675</t>
  </si>
  <si>
    <t>Bank Balances - First Micro Finance Bank- Clifton Branch</t>
  </si>
  <si>
    <t>010100100093</t>
  </si>
  <si>
    <t>DALACCT.2799274689400000020DELIM_7379868200999998675</t>
  </si>
  <si>
    <t>Bank Balances - National Bank Of Pakistan - Main Branch</t>
  </si>
  <si>
    <t>010100100100</t>
  </si>
  <si>
    <t>DALACCT.2799274689400000021DELIM_7379868200999998675</t>
  </si>
  <si>
    <t>Bank Balances - Silk Bank Limited - Main Branch</t>
  </si>
  <si>
    <t>010100100103</t>
  </si>
  <si>
    <t>DALACCT.2799274689400000022DELIM2299768474900015835</t>
  </si>
  <si>
    <t>Profit Receivable - Tameer Microfinance Bank</t>
  </si>
  <si>
    <t>010601100082</t>
  </si>
  <si>
    <t>DALACCT.2799274689400000023DELIM2299768474900015835</t>
  </si>
  <si>
    <t>Profit Receivable - First Micro Finance Bank - Clifton Branch</t>
  </si>
  <si>
    <t>010601100092</t>
  </si>
  <si>
    <t>DALACCT.2799274689400000024DELIM2299768474900015835</t>
  </si>
  <si>
    <t>Profit Receivable - Silk Bank Limited - Main Branch</t>
  </si>
  <si>
    <t>010601100098</t>
  </si>
  <si>
    <t>DALACCT.2799274689400001263DELIM_7379868200999998667</t>
  </si>
  <si>
    <t>Other Receivable Against Collection Account -Mcb</t>
  </si>
  <si>
    <t>011500100001</t>
  </si>
  <si>
    <t>DALACCT.2799274689400000025DELIM_7379868200999998667</t>
  </si>
  <si>
    <t>Other Receivable Against Collection Account- Faysal Bank</t>
  </si>
  <si>
    <t>011500100002</t>
  </si>
  <si>
    <t>DALACCT.2799274689400000030DELIM_7379868200999998647</t>
  </si>
  <si>
    <t>INCOME ON COMMERCIAL PAPERS</t>
  </si>
  <si>
    <t>040201200001</t>
  </si>
  <si>
    <t>DALACCT.2799274689400000027DELIM_7379868200999998643</t>
  </si>
  <si>
    <t>Profit On - Habib Bank Limited Kse Branch</t>
  </si>
  <si>
    <t>040200100090</t>
  </si>
  <si>
    <t>DALACCT.2799274689400000028DELIM_7379868200999998643</t>
  </si>
  <si>
    <t>Profit On - First Micro Finance Bank Ltd - Clifton Branch</t>
  </si>
  <si>
    <t>040200100093</t>
  </si>
  <si>
    <t>DALACCT.2799274689400000029DELIM_7379868200999998643</t>
  </si>
  <si>
    <t>Profit On - Silk Bank Limited - Main Branch</t>
  </si>
  <si>
    <t>040200100099</t>
  </si>
  <si>
    <t>DALACCT.2799274689400000031DELIM_7379868200999998590</t>
  </si>
  <si>
    <t>BANK CHARGES - NATIONAL BANK LIMITED</t>
  </si>
  <si>
    <t>051000100012</t>
  </si>
  <si>
    <t>DALACCT.2799274689400000032DELIM_7379868200999998590</t>
  </si>
  <si>
    <t>Bank Charges - First Micro Finance Bank</t>
  </si>
  <si>
    <t>051000100030</t>
  </si>
  <si>
    <t>DALACCT.2799274689400000033DELIM_7379868200999998590</t>
  </si>
  <si>
    <t>Bank Charges - Silk Bank Limited</t>
  </si>
  <si>
    <t>051000100031</t>
  </si>
  <si>
    <t>Lucky Cement Limited</t>
  </si>
  <si>
    <t>National Refinery Limited</t>
  </si>
  <si>
    <t>Gul Ahmed Textile Mills Limited</t>
  </si>
  <si>
    <t>Lotte Chemical Pakistan Limited</t>
  </si>
  <si>
    <t>Fertilizer</t>
  </si>
  <si>
    <t>At
July 01,
2017</t>
  </si>
  <si>
    <t>At
June 30,2018</t>
  </si>
  <si>
    <t>FOR THE YEAR ENDED JUNE 30, 2018</t>
  </si>
  <si>
    <t>Income already paid on units redeemed</t>
  </si>
  <si>
    <t xml:space="preserve"> (Rupees in '000) </t>
  </si>
  <si>
    <t>Capital Value</t>
  </si>
  <si>
    <t>Undistributed income</t>
  </si>
  <si>
    <t>Unrealised appreciation / (diminution)  'available for sale' investments</t>
  </si>
  <si>
    <t xml:space="preserve">- Capital value (at net asset value per unit at the </t>
  </si>
  <si>
    <t>Number of units issued</t>
  </si>
  <si>
    <t>Amount received against issuance</t>
  </si>
  <si>
    <t>Ex NAV</t>
  </si>
  <si>
    <t>Portion of Capital</t>
  </si>
  <si>
    <t>Portion of Element</t>
  </si>
  <si>
    <t>- Element of income</t>
  </si>
  <si>
    <t>Number of units redeemed</t>
  </si>
  <si>
    <t>- Amount paid out of element of income</t>
  </si>
  <si>
    <t>- Refund / (adjustment) on units as element of income</t>
  </si>
  <si>
    <t>Total payments on redemption of units</t>
  </si>
  <si>
    <t xml:space="preserve">Element of income / loss and capital gains / losses included </t>
  </si>
  <si>
    <t>in prices of units issued less those in units redeemed - net</t>
  </si>
  <si>
    <t>Undistributed income brought forward</t>
  </si>
  <si>
    <t xml:space="preserve"> - Realised</t>
  </si>
  <si>
    <t xml:space="preserve"> - Unrealised</t>
  </si>
  <si>
    <t>Accounting income available for distribution</t>
  </si>
  <si>
    <t xml:space="preserve"> - Relating to capital gains</t>
  </si>
  <si>
    <t xml:space="preserve"> - Excluding capital gains</t>
  </si>
  <si>
    <t>Net element of income / (loss) and capital gains / (losses) included</t>
  </si>
  <si>
    <t>in the prices of units issued less those in units redeemed</t>
  </si>
  <si>
    <t>Adjustments for non cash and other items:</t>
  </si>
  <si>
    <t>- arising from income other than capital gain and unrealized gain</t>
  </si>
  <si>
    <t>urg/loss</t>
  </si>
  <si>
    <t>pib</t>
  </si>
  <si>
    <t>Net purchase</t>
  </si>
  <si>
    <t>Capital loss</t>
  </si>
  <si>
    <t>TBIll n PIB (HFT)</t>
  </si>
  <si>
    <t>TDR</t>
  </si>
  <si>
    <t>CP</t>
  </si>
  <si>
    <t>ammortization</t>
  </si>
  <si>
    <t>net purchase</t>
  </si>
  <si>
    <t>Profit receiveable</t>
  </si>
  <si>
    <t>B/d</t>
  </si>
  <si>
    <t>Income</t>
  </si>
  <si>
    <t>CM</t>
  </si>
  <si>
    <t>Bank profit</t>
  </si>
  <si>
    <t>Govt security</t>
  </si>
  <si>
    <t>dividend</t>
  </si>
  <si>
    <t>received</t>
  </si>
  <si>
    <t>(bal)</t>
  </si>
  <si>
    <t>Tickmark ID</t>
  </si>
  <si>
    <t>Description</t>
  </si>
  <si>
    <t>Occurrences</t>
  </si>
  <si>
    <t>Reviewed By</t>
  </si>
  <si>
    <t>Review Date</t>
  </si>
  <si>
    <t>Review Note Number</t>
  </si>
  <si>
    <t>Text</t>
  </si>
  <si>
    <t>Status</t>
  </si>
  <si>
    <t>Priority</t>
  </si>
  <si>
    <t>Creator</t>
  </si>
  <si>
    <t>Created Date</t>
  </si>
  <si>
    <t>Clearer</t>
  </si>
  <si>
    <t>Cleared Date</t>
  </si>
  <si>
    <t>Closer</t>
  </si>
  <si>
    <t>Closed Date</t>
  </si>
  <si>
    <t>Source Entity Name</t>
  </si>
  <si>
    <t>Source Entity Type</t>
  </si>
  <si>
    <t>Target Entity Name</t>
  </si>
  <si>
    <t>Target Entity Type</t>
  </si>
  <si>
    <t>28150 PIEF Financial statement 2017 (formatted and initialed)</t>
  </si>
  <si>
    <t>Excel Working Paper</t>
  </si>
  <si>
    <t>672519552 Agree or reconcile the information in the financial statements with the underlying accounting records, including agreeing or reconciling disclosures, whether such information is obtained from within o</t>
  </si>
  <si>
    <t>Engagement Procedure</t>
  </si>
  <si>
    <t>1517602159 Perform substantive audit procedures to evaluate whether the overall presentation of the financial statements, including the related disclosures, is in accordance with the IFRSs.</t>
  </si>
  <si>
    <t>1167156012 Determine whether: 
    ·The comparative information agrees with the amounts and other disclosures presented in the prior period(s) audited financial statements or, when appropriate, have been rest</t>
  </si>
  <si>
    <t>1648139512 Determine that the accounting policies and methods for recognition related to the cash flow statement are appropriate and are applied consistently.</t>
  </si>
  <si>
    <t>1410525752 Perform the following audit procedures: 
    ·Document the reconciliation of the cash flow statement with the accounting records and prior period 
    ·Recalculate the cash flow statement using th</t>
  </si>
  <si>
    <t>Source Value</t>
  </si>
  <si>
    <t>Target Value</t>
  </si>
  <si>
    <t>Target Name</t>
  </si>
  <si>
    <t>NCR Status</t>
  </si>
  <si>
    <t>Net element of (loss) / income and capital (losses) / gains included in</t>
  </si>
  <si>
    <t>Reversal against non-performing investments - net</t>
  </si>
  <si>
    <t>Net cash generated from operating activities</t>
  </si>
  <si>
    <t>Net increase / (decrease) in cash and cash equivalents during the year</t>
  </si>
  <si>
    <t>Total proceeds from  issuance of units</t>
  </si>
  <si>
    <t>Net income for the year less distribution</t>
  </si>
  <si>
    <t>Distribution during the year</t>
  </si>
  <si>
    <t>Total comprehensive income for the year</t>
  </si>
  <si>
    <t>D.G. Khan Cement Company Limited</t>
  </si>
  <si>
    <t>7.68% to 8.02%</t>
  </si>
  <si>
    <t>7.23% to 7.6%</t>
  </si>
  <si>
    <t>5% to 9%</t>
  </si>
  <si>
    <t>9.25% to 11.5%</t>
  </si>
  <si>
    <t>lt/st</t>
  </si>
  <si>
    <t>st</t>
  </si>
  <si>
    <t>lt</t>
  </si>
  <si>
    <t xml:space="preserve">A-1 </t>
  </si>
  <si>
    <t>6.6.1</t>
  </si>
  <si>
    <t>6.6.2</t>
  </si>
  <si>
    <t>6.6.3</t>
  </si>
  <si>
    <t>s</t>
  </si>
  <si>
    <t>valuation</t>
  </si>
  <si>
    <t>irr rate</t>
  </si>
  <si>
    <t>+1%</t>
  </si>
  <si>
    <t>-1%</t>
  </si>
  <si>
    <t>change from fs</t>
  </si>
  <si>
    <t>yield rate</t>
  </si>
  <si>
    <t>change</t>
  </si>
  <si>
    <t>Transactions during the period with connected persons / related parties in units of the Fund:</t>
  </si>
  <si>
    <t>Issued
 for cash</t>
  </si>
  <si>
    <t>Bonus</t>
  </si>
  <si>
    <t>Redeemed</t>
  </si>
  <si>
    <t>------------------------------------- Units ----------------------------------</t>
  </si>
  <si>
    <t>Associated Companies:</t>
  </si>
  <si>
    <t>Key management personnel</t>
  </si>
  <si>
    <t>Unit holders holding 10% or more units</t>
  </si>
  <si>
    <t>diff</t>
  </si>
  <si>
    <t>PIBs - Movement and Summary</t>
  </si>
  <si>
    <t>Company name</t>
  </si>
  <si>
    <t>Project name</t>
  </si>
  <si>
    <t>Period-end date</t>
  </si>
  <si>
    <t>Pakistan Income Enhancement Fund</t>
  </si>
  <si>
    <t>Annual Audit 2018</t>
  </si>
  <si>
    <t>Saturday, June 30, 2018</t>
  </si>
  <si>
    <t>Prepared by</t>
  </si>
  <si>
    <t>Cut off Date</t>
  </si>
  <si>
    <t>W/P reference</t>
  </si>
  <si>
    <t>22110.01</t>
  </si>
  <si>
    <t xml:space="preserve">Source: </t>
  </si>
  <si>
    <t>Objective:</t>
  </si>
  <si>
    <t>Cut-off:</t>
  </si>
  <si>
    <t>- To verify the existance, valuation, completenessand rights and obligations of PIBs</t>
  </si>
  <si>
    <t>To test completeness and valuation of PIBs.</t>
  </si>
  <si>
    <t>- To verify the occurance, completeness, cutoff, classification and accuracy of PIB income</t>
  </si>
  <si>
    <t>As per SBPs PIB investment manual the coupon income should be received after every six months since the date of issue of that PIB.</t>
  </si>
  <si>
    <t>OPENING + PURCHASES</t>
  </si>
  <si>
    <t>DISPOSAL</t>
  </si>
  <si>
    <t>OUTSTANDING</t>
  </si>
  <si>
    <t>Market value at date of disposal</t>
  </si>
  <si>
    <t>Instrument</t>
  </si>
  <si>
    <t>Purchase Details</t>
  </si>
  <si>
    <t>Realized Gain Calculation</t>
  </si>
  <si>
    <t>Mark to Market (Remeasurement)</t>
  </si>
  <si>
    <t>Income for the year</t>
  </si>
  <si>
    <t>Accrued Income (Receivable)</t>
  </si>
  <si>
    <t>IRR</t>
  </si>
  <si>
    <t>URG/(loss)</t>
  </si>
  <si>
    <t>Impairment testing</t>
  </si>
  <si>
    <t>S #</t>
  </si>
  <si>
    <t>Type</t>
  </si>
  <si>
    <t>Issue Date</t>
  </si>
  <si>
    <t>Maturity Date</t>
  </si>
  <si>
    <t>Tenor (years)</t>
  </si>
  <si>
    <t>Purchase Refer</t>
  </si>
  <si>
    <t>Portfolio</t>
  </si>
  <si>
    <t>Settlement Date</t>
  </si>
  <si>
    <t>Face Value</t>
  </si>
  <si>
    <t>Price</t>
  </si>
  <si>
    <t>Principal Amount</t>
  </si>
  <si>
    <t>Transaction Cost</t>
  </si>
  <si>
    <t>Settlement Amount</t>
  </si>
  <si>
    <t>Face Value Sold</t>
  </si>
  <si>
    <t>Sale Reference</t>
  </si>
  <si>
    <t>Selling Date</t>
  </si>
  <si>
    <t>Selling price</t>
  </si>
  <si>
    <t>Sales proceed</t>
  </si>
  <si>
    <t>Ref</t>
  </si>
  <si>
    <t>Capital Gain / (Loss)</t>
  </si>
  <si>
    <t>Closing
Face Value</t>
  </si>
  <si>
    <t>Amortized Cost</t>
  </si>
  <si>
    <t>Amortization</t>
  </si>
  <si>
    <t>Days to maturity</t>
  </si>
  <si>
    <t>Interpolated PKRV Rate</t>
  </si>
  <si>
    <t>Market value per PIB</t>
  </si>
  <si>
    <t>Revaluation Gain/(Loss)</t>
  </si>
  <si>
    <t>Coupon rate</t>
  </si>
  <si>
    <t>Cut-off date</t>
  </si>
  <si>
    <t>Days in period</t>
  </si>
  <si>
    <t>Last Coupon</t>
  </si>
  <si>
    <t>Cut-off Days</t>
  </si>
  <si>
    <t>CV as on June 30 2018</t>
  </si>
  <si>
    <t>MV as on June 30 2018</t>
  </si>
  <si>
    <t>Receiveable as on June 30, 2018</t>
  </si>
  <si>
    <t>Linked</t>
  </si>
  <si>
    <t>Held for trading</t>
  </si>
  <si>
    <t>Purchased during the period</t>
  </si>
  <si>
    <t>PIB</t>
  </si>
  <si>
    <t>OB1216 4</t>
  </si>
  <si>
    <t>Opening PIBs</t>
  </si>
  <si>
    <t>OB5321</t>
  </si>
  <si>
    <t>OB8522</t>
  </si>
  <si>
    <t>OS1214 0</t>
  </si>
  <si>
    <t>OB4879</t>
  </si>
  <si>
    <t>OS1216 2</t>
  </si>
  <si>
    <t>OB1214 3</t>
  </si>
  <si>
    <t>As per DTT</t>
  </si>
  <si>
    <t>Work Done:</t>
  </si>
  <si>
    <t>As per LS</t>
  </si>
  <si>
    <t xml:space="preserve">- Obtained Transaction Listing, Accrual report and Valuation report of PIBs purchased or sold during the year. </t>
  </si>
  <si>
    <t>- Prepared movement during the year</t>
  </si>
  <si>
    <t>BCTM</t>
  </si>
  <si>
    <t xml:space="preserve">- Recalculated the closing balance </t>
  </si>
  <si>
    <t xml:space="preserve">- Used IPS Settlement account to Confirm Holdings </t>
  </si>
  <si>
    <t xml:space="preserve">- Matched the amount with the leadsheet </t>
  </si>
  <si>
    <t>Conclusion:</t>
  </si>
  <si>
    <t>Based on our findings, nothing has come to our attention that causes us to believe that the account balance is materially misstated.</t>
  </si>
  <si>
    <t>Investment in HFT - T-Bills - Closing</t>
  </si>
  <si>
    <t>Start Date</t>
  </si>
  <si>
    <t>To ensure that Income and Capital Gain on T-Bills disposed during the year is completely and accurately recorded in the relevent accounting period and is appropriatly disclosed in the Financial Statements</t>
  </si>
  <si>
    <t>Instrument Details</t>
  </si>
  <si>
    <t>Calculation for the Yield</t>
  </si>
  <si>
    <t>Sensitivity Analysis</t>
  </si>
  <si>
    <t>S. No.</t>
  </si>
  <si>
    <t>Pur Ref No.</t>
  </si>
  <si>
    <t>Tenor in months</t>
  </si>
  <si>
    <t>Purchase Date</t>
  </si>
  <si>
    <t>Rate</t>
  </si>
  <si>
    <t>IPS Confirmation</t>
  </si>
  <si>
    <t xml:space="preserve">Purchase amount </t>
  </si>
  <si>
    <t>Cut Off Date</t>
  </si>
  <si>
    <t>Gross Unamortized Discount (historical)</t>
  </si>
  <si>
    <t>Number of Days till maturity</t>
  </si>
  <si>
    <t>Accrual Per Day</t>
  </si>
  <si>
    <t>Number of days in the period</t>
  </si>
  <si>
    <t>Accrual for the period</t>
  </si>
  <si>
    <t>Unammortized discount at period end</t>
  </si>
  <si>
    <t>Closing Carrying Amount</t>
  </si>
  <si>
    <t>Days to Maturity</t>
  </si>
  <si>
    <t>PKRV Interpolated Rates</t>
  </si>
  <si>
    <t>Market Price</t>
  </si>
  <si>
    <t>Market Value</t>
  </si>
  <si>
    <t>Unrealized Gain/Loss</t>
  </si>
  <si>
    <t>Appreciation / (Diminution)</t>
  </si>
  <si>
    <t>OB1290 2</t>
  </si>
  <si>
    <t>Leadsheet</t>
  </si>
  <si>
    <t>Deal no.</t>
  </si>
  <si>
    <t xml:space="preserve">Maturity date </t>
  </si>
  <si>
    <t xml:space="preserve">Cutoff Date </t>
  </si>
  <si>
    <t xml:space="preserve">Remaining No. of  Days </t>
  </si>
  <si>
    <t>Below CTM</t>
  </si>
  <si>
    <t>Lower Limit</t>
  </si>
  <si>
    <t>Upper Limit</t>
  </si>
  <si>
    <t>Days to Maturity Fall in Upper Limit</t>
  </si>
  <si>
    <t>Interpolated Rate</t>
  </si>
  <si>
    <t>Slab</t>
  </si>
  <si>
    <t>lower</t>
  </si>
  <si>
    <t>upper</t>
  </si>
  <si>
    <t>current</t>
  </si>
  <si>
    <r>
      <t>Deloitte</t>
    </r>
    <r>
      <rPr>
        <b/>
        <sz val="10"/>
        <color rgb="FF92D050"/>
        <rFont val="Verdana"/>
        <family val="2"/>
      </rPr>
      <t>.</t>
    </r>
  </si>
  <si>
    <t>sensitivity analysis</t>
  </si>
  <si>
    <t>MV of Tbill</t>
  </si>
  <si>
    <t>Change in MV</t>
  </si>
  <si>
    <t>Net Change</t>
  </si>
  <si>
    <t>rate + 100 basis pts</t>
  </si>
  <si>
    <t>rate - 100 basis pts</t>
  </si>
  <si>
    <t>International Industries Limited</t>
  </si>
  <si>
    <t>Particulars</t>
  </si>
  <si>
    <t xml:space="preserve">   Loans and receivables</t>
  </si>
  <si>
    <t>Receivable against National Clearing</t>
  </si>
  <si>
    <t>Dividend and profit receivables</t>
  </si>
  <si>
    <t>Provision charged against non-performing debt securities</t>
  </si>
  <si>
    <t>as per NAV</t>
  </si>
  <si>
    <t>Unrealised diminution / (appreciation) on re-measurement of investments classified as</t>
  </si>
  <si>
    <t>Net cash used in financing activities</t>
  </si>
  <si>
    <t>The Sindh Revenue Board through Circular No. SRB-3-4/TP/01/2015/86554 dated June 13, 2015 has amended the definition of services of shares, securities and derivatives and included the custodianship services within the purview of Sindh Sales Tax. Accordingly Sindh Sales Tax of 13 % is applicable on Trustee fee which is now covered under the section 2(79A) of the Sindh Finance Bill 2010 amended upto 2016.</t>
  </si>
  <si>
    <t>Government sec</t>
  </si>
  <si>
    <t>Audit for the year ended June 30, 2018</t>
  </si>
  <si>
    <t>1.</t>
  </si>
  <si>
    <t>- Relating to 'net income for the year after taxation'</t>
  </si>
  <si>
    <t>- Relating to 'other comprehensive income for the year'</t>
  </si>
  <si>
    <t>Certificate of musharika</t>
  </si>
  <si>
    <t>Provision against Eden Housing Limited</t>
  </si>
  <si>
    <t>3.75% to 9.5%</t>
  </si>
  <si>
    <t xml:space="preserve">Under the provisions of the NBFC Regulations, 2008, the Management Company of the Fund is entitled to a remuneration, during the first five years of the Fund of an amount not exceeding 3% percent of the average annual net assets of the Fund and thereafter, of an amount equal to 2% percent of such assets of the Fund and, in any case, it shall not exceed the limit prescribed by the NBFC Regulations, 2008. Management company has charged the fee at  the lower of 15% of the gross earnings of the scheme calculated on a daily basis not exceeding the maximum rate of remuneration permitted under the Rules &amp; Regulations. Provided that Fund is subject to a minimum fee of 0.25% of the average daily net assets of the Scheme. </t>
  </si>
  <si>
    <t>Provision for Sindh workers' welfare fund</t>
  </si>
  <si>
    <t xml:space="preserve">Price risk is the risk that the fair value or future cash flows of a financial instrument will fluctuate because of changes in market prices (other than those arising from interest risk or currency risk) whether those changes are caused by factors specific to the individual financial instrument or its issuer, or factors affecting all similar financial instruments traded in the market. The fund is exposed to price risk because of Term Finance Certificates(TFCs) held by it and classified at 'Fair value through Profit and Loss'.
</t>
  </si>
  <si>
    <t>Provision / (reversal) of Sindh worker's welfare fund - net</t>
  </si>
  <si>
    <t>13.1</t>
  </si>
  <si>
    <t>Legal and professional charges</t>
  </si>
  <si>
    <t>Advances, deposits and prepayments</t>
  </si>
  <si>
    <t>NON ADJUSTING EVENT AFTER REPORTING DATE</t>
  </si>
  <si>
    <t>Treasury bills - 3 months</t>
  </si>
  <si>
    <t>12.</t>
  </si>
  <si>
    <t>13.</t>
  </si>
  <si>
    <t>14.</t>
  </si>
  <si>
    <t>15.</t>
  </si>
  <si>
    <t>16.</t>
  </si>
  <si>
    <t>10.</t>
  </si>
  <si>
    <t>17.</t>
  </si>
  <si>
    <t>25.</t>
  </si>
  <si>
    <t>26.</t>
  </si>
  <si>
    <t>28.</t>
  </si>
  <si>
    <t>*Treasury bills - 3 months</t>
  </si>
  <si>
    <t>Tenure</t>
  </si>
  <si>
    <t xml:space="preserve">Pakistan Investment Bond </t>
  </si>
  <si>
    <t>Under sealed cover</t>
  </si>
  <si>
    <t>The General Manager</t>
  </si>
  <si>
    <t>Pakistan Stock Exchange Limited</t>
  </si>
  <si>
    <t xml:space="preserve">Stock Exchange Building, </t>
  </si>
  <si>
    <t>Stock Exchange Road,</t>
  </si>
  <si>
    <t>Subject:</t>
  </si>
  <si>
    <t>Dear Sir</t>
  </si>
  <si>
    <t xml:space="preserve">           (Rupees in '000)</t>
  </si>
  <si>
    <t>Capital gain / (loss) on sale of investments - net</t>
  </si>
  <si>
    <t>Earnings per unit (EPU) is not disclosed as the management is of the opinion that calculation of weighted average number of units is impracticable.</t>
  </si>
  <si>
    <t>We will be sending you requisite number of copies of printed Accounts for distribution amongst the members of the Exchange.</t>
  </si>
  <si>
    <t>Yours truly,</t>
  </si>
  <si>
    <t>Company Secretary</t>
  </si>
  <si>
    <t>Muhammad Asif Mehdi Rizvi</t>
  </si>
  <si>
    <t>Trail Balance</t>
  </si>
  <si>
    <t>Account Code</t>
  </si>
  <si>
    <t>Account Name</t>
  </si>
  <si>
    <t>Debit</t>
  </si>
  <si>
    <t>Credit</t>
  </si>
  <si>
    <t>010700700008</t>
  </si>
  <si>
    <t>Prepayment Of Legal Charges</t>
  </si>
  <si>
    <t>010900200001</t>
  </si>
  <si>
    <t>OTHER RECEIVABLE</t>
  </si>
  <si>
    <t>020100100002</t>
  </si>
  <si>
    <t>ISSUED OF ADDITIONAL UNITS</t>
  </si>
  <si>
    <t>031200100002</t>
  </si>
  <si>
    <t>SST on Back Office Operation Payable</t>
  </si>
  <si>
    <t>040102100001</t>
  </si>
  <si>
    <t>CAPITAL GAIN / (LOSS) ON SALE OF PIB FRB -HFT</t>
  </si>
  <si>
    <t>040200100096</t>
  </si>
  <si>
    <t>Profit On - National Bank Of Pakistan - Main Branch</t>
  </si>
  <si>
    <t>040202400001</t>
  </si>
  <si>
    <t>INCOME ON GOVT SECTY PIBS FRB</t>
  </si>
  <si>
    <t>(Audited)</t>
  </si>
  <si>
    <t>June</t>
  </si>
  <si>
    <t>September</t>
  </si>
  <si>
    <t>(Unaudited)</t>
  </si>
  <si>
    <t>At September 30, 2018</t>
  </si>
  <si>
    <t>As at September 30, 2018</t>
  </si>
  <si>
    <t>TOTAL EXPENSE RATIO</t>
  </si>
  <si>
    <t>EARNINGS PER UNIT</t>
  </si>
  <si>
    <t>Government securities - At fair value through OCI</t>
  </si>
  <si>
    <t>Quarter ended</t>
  </si>
  <si>
    <t>Gain on spread transactions</t>
  </si>
  <si>
    <t>Redemption of 11,295,194 units (2017: 13,074,466 units)</t>
  </si>
  <si>
    <t>Issue of 3,434,123 units (2017: 10,507,926 units)</t>
  </si>
  <si>
    <t>Net assets value per unit at end of the period</t>
  </si>
  <si>
    <t>Net assets value per unit at beginning of the period</t>
  </si>
  <si>
    <t>beginning of the year) of Rs. 55.8399</t>
  </si>
  <si>
    <r>
      <t xml:space="preserve">Presently, the Fund holds KIBOR based interest bearing term finance certificates exposing the Fund to cash flow interest rate risk. In case of 100 basis points increase / decrease in KIBOR on the last repricing date of these term finance certificates, with all other variables held constant, the net assets of the Fund and net income for the year would have been </t>
    </r>
    <r>
      <rPr>
        <sz val="10"/>
        <color theme="1"/>
        <rFont val="Times New Roman"/>
        <family val="1"/>
      </rPr>
      <t>lower / higher</t>
    </r>
    <r>
      <rPr>
        <sz val="10"/>
        <rFont val="Times New Roman"/>
        <family val="1"/>
      </rPr>
      <t xml:space="preserve"> by Rs. </t>
    </r>
    <r>
      <rPr>
        <sz val="10"/>
        <color theme="1"/>
        <rFont val="Times New Roman"/>
        <family val="1"/>
      </rPr>
      <t>1.35 million (2017: Rs. 10.4 million).</t>
    </r>
  </si>
  <si>
    <r>
      <t xml:space="preserve">As at June 30, 2018, the Fund holds government securities which are classified as at fair value through profit or loss and available-for-sale exposing the Fund to fair value interest rate risk. In case of 100 basis points increase in rates announced by Financial Market Association of Pakistan (FMAP) on June 30, 2018, with all other variables held constant, total comprehensive income for the year and net assets would be </t>
    </r>
    <r>
      <rPr>
        <sz val="10"/>
        <color theme="1"/>
        <rFont val="Times New Roman"/>
        <family val="1"/>
      </rPr>
      <t>higher by Rs. 1.74</t>
    </r>
    <r>
      <rPr>
        <sz val="10"/>
        <rFont val="Times New Roman"/>
        <family val="1"/>
      </rPr>
      <t xml:space="preserve"> million (2017: higher by Rs. 3.79 million).</t>
    </r>
  </si>
  <si>
    <t xml:space="preserve">- issuance of 278,621 additional units against redeemption of capital included </t>
  </si>
  <si>
    <t>in distribtuion issued at par value</t>
  </si>
  <si>
    <t>The Board of Directors of the Management Company in its meeting held on July 5, 2018 has proposed a variable final cash distribution of upto Rs. 2.7329 per unit amounting to PKR 66.1 million as cash dividend and Rs. ____ million as refund of capital. The financial statements of the Fund for the year ended June 30, 2018 do not include the effect of the final distribution which will be accounted for in the financial statements of the Fund for the year ending June 30, 2019.</t>
  </si>
  <si>
    <t>The Fund's overall risk management programmed focuses on the unpredictability of financial markets and seeks to minimise potential adverse effects on the Fund's financial performance.</t>
  </si>
  <si>
    <t>Market value as at:</t>
  </si>
  <si>
    <t>Provision on:</t>
  </si>
  <si>
    <t>Book value as at:</t>
  </si>
  <si>
    <t>Commercial papers - Amortised cost</t>
  </si>
  <si>
    <t>Provision for Sindh Workers' Welfare Fund</t>
  </si>
  <si>
    <t>----------------------------------- September 30, 2018 -----------------------------------</t>
  </si>
  <si>
    <t>Investments previously classified as available for sale</t>
  </si>
  <si>
    <t>Cash and cash equivalents at end of the period:</t>
  </si>
  <si>
    <t>Sales / matured during the period</t>
  </si>
  <si>
    <t>Provision (charged) / reversed during the period</t>
  </si>
  <si>
    <t>Matured during the period</t>
  </si>
  <si>
    <t>Disposed
during the
period</t>
  </si>
  <si>
    <t>Purchases during the period</t>
  </si>
  <si>
    <t xml:space="preserve">Pakistan Investment Bonds - 5 periods </t>
  </si>
  <si>
    <t>Net income for the period</t>
  </si>
  <si>
    <t>Other comprehensive income for the period</t>
  </si>
  <si>
    <t xml:space="preserve">Total comprehensive income for the period </t>
  </si>
  <si>
    <t>Net assets at beginning of the period</t>
  </si>
  <si>
    <t>- Relating to 'other comprehensive income for the period'</t>
  </si>
  <si>
    <t>Total comprehensive income for the period</t>
  </si>
  <si>
    <t>Net assets at end of the period</t>
  </si>
  <si>
    <t>Net income for the period after taxation</t>
  </si>
  <si>
    <t>Cash distribution during the period</t>
  </si>
  <si>
    <t>CONDENSED INTERIM STATEMENT OF ASSETS AND LIABILITIES</t>
  </si>
  <si>
    <t>CONDENSED INTERIM  INCOME STATEMENT (UNAUDITED)</t>
  </si>
  <si>
    <t>CONDENSED INTERIM STATEMENT OF COMPREHENSIVE INCOME (UNAUDITED)</t>
  </si>
  <si>
    <t>CONDENSED INTERIM STATEMENT OF MOVEMENT IN UNIT HOLDERS' FUND (UNAUDITED)</t>
  </si>
  <si>
    <t>CONDENSED INTERIM CASH FLOW STATEMENT (UNAUDITED)</t>
  </si>
  <si>
    <t>Form 7</t>
  </si>
  <si>
    <t>Financial results for the period ended September 30, 2018.</t>
  </si>
  <si>
    <t>--------------------(Un-Auidted)-----------------</t>
  </si>
  <si>
    <t>September 30,</t>
  </si>
  <si>
    <t>Allocation of net income for the period:</t>
  </si>
  <si>
    <t xml:space="preserve">Unrealised (diminution) / appreciation in value of investments previously classified </t>
  </si>
  <si>
    <t>Provision of SWWF</t>
  </si>
  <si>
    <r>
      <t xml:space="preserve">We have to inform you that the Board of Directors of MCB-Arif Habib Savings &amp; Investments Limited, the management company of </t>
    </r>
    <r>
      <rPr>
        <b/>
        <sz val="10"/>
        <rFont val="Times New Roman"/>
        <family val="1"/>
      </rPr>
      <t>Pakistan Income Enchancement Fund</t>
    </r>
    <r>
      <rPr>
        <sz val="10"/>
        <rFont val="Times New Roman"/>
        <family val="1"/>
      </rPr>
      <t xml:space="preserve">  in their meeting held at MCB Tower, Karachi, on Monday October 22, 2018 at 04:00 p.m, approved the financial results of Pakistan Income Enchancement Fund for the quater ended September 30, 2018 as follows:</t>
    </r>
  </si>
  <si>
    <t>010601100075</t>
  </si>
  <si>
    <t>December 31,</t>
  </si>
  <si>
    <t>d</t>
  </si>
  <si>
    <t>units</t>
  </si>
  <si>
    <t>amount</t>
  </si>
  <si>
    <t>Redemp</t>
  </si>
  <si>
    <t>ExNav</t>
  </si>
  <si>
    <t>beginning of the period)</t>
  </si>
  <si>
    <t>Cash and cash equivalents at beginning of the period</t>
  </si>
  <si>
    <t>Cash and cash equivalents at end of the period</t>
  </si>
  <si>
    <t xml:space="preserve">- </t>
  </si>
  <si>
    <t>Non-Banking Finance Companies (Establishment and Regulations) Rules, 2003 (The NBFC Rules), Non-Banking Finance Companies and Notified Entities Regulations, 2008 (The NBFC Regulations) and requirement of the Trust Deed.</t>
  </si>
  <si>
    <t>3.</t>
  </si>
  <si>
    <t>December 31, 2018</t>
  </si>
  <si>
    <t>June 30, 
2018</t>
  </si>
  <si>
    <t>(Un-audited)</t>
  </si>
  <si>
    <t>-------------------------------------(Rupees in '000)-------------------------------------</t>
  </si>
  <si>
    <t>INVESTMENTS</t>
  </si>
  <si>
    <t xml:space="preserve">At fair value through profit or loss </t>
  </si>
  <si>
    <t>At July 01, 2018</t>
  </si>
  <si>
    <t>Investment Bank</t>
  </si>
  <si>
    <t xml:space="preserve">Pakistan Investment Bond - 5 Years </t>
  </si>
  <si>
    <t>a) Pace Pakistan Limited (note 5.2)</t>
  </si>
  <si>
    <t>b) Eden Housing Limited (note 5.3)</t>
  </si>
  <si>
    <t>Government securities - Available for sale</t>
  </si>
  <si>
    <t>Remuneration Payable</t>
  </si>
  <si>
    <t xml:space="preserve">Remuneration Of Centeral Depository Company </t>
  </si>
  <si>
    <t xml:space="preserve">  Of Pakistan Limited - Trustee</t>
  </si>
  <si>
    <t>PAYABLE TO SECURITIES AND EXCHANGE COMMISSION OF PAKSITAN</t>
  </si>
  <si>
    <t xml:space="preserve">TRANSACTIONS WITH CONNECTED PERSONS / </t>
  </si>
  <si>
    <t xml:space="preserve">  RELATED PARTIES</t>
  </si>
  <si>
    <t xml:space="preserve">Related parties / connected persons of the Fund include the Management Company, other collective investment schemes managed by the Management Company, MCB Bank Limited being the holding company of the Management Company, the Trustee, directors and key management personnel, other associated undertakings and unit holders holding more than 10% units of the Fund. </t>
  </si>
  <si>
    <t xml:space="preserve">Remuneration payable to the Management Company and the Trustee is determined in accordance with the provision of the NBFC Regulations 2008 and Constitutive documents of the Fund. </t>
  </si>
  <si>
    <t>The transactions with connected persons / related parties are in the normal course of business and are carried out on agreed terms at contracted rates.</t>
  </si>
  <si>
    <t>Details of transactions with the connected persons / related parties during the period are as follows:</t>
  </si>
  <si>
    <t>NAV</t>
  </si>
  <si>
    <t>MCB-Arif Habib Savings and Investments Limited - Management Company</t>
  </si>
  <si>
    <t>Issue of Nil units (2017: 2,403,766 units)</t>
  </si>
  <si>
    <t>Redemption of Nil (2017: 2,403,766 units)</t>
  </si>
  <si>
    <t>Central Depository Company of Pakistan Limited</t>
  </si>
  <si>
    <t>Remuneration of the trustee (including indirect taxes)</t>
  </si>
  <si>
    <t>CDC settlement charges</t>
  </si>
  <si>
    <t>Next Capital Limited</t>
  </si>
  <si>
    <t>Brokerage expense*</t>
  </si>
  <si>
    <t>Amount outstanding as at period end / year end</t>
  </si>
  <si>
    <t>June 30,</t>
  </si>
  <si>
    <t>-------- (Rupees in '000) --------</t>
  </si>
  <si>
    <t>Brokerage payable</t>
  </si>
  <si>
    <t>Avg Net Assets in Thousand</t>
  </si>
  <si>
    <t>Refer 25300.02</t>
  </si>
  <si>
    <t>Avg Expenses in thousand</t>
  </si>
  <si>
    <t>Govt levy, WWF and Secp Fee</t>
  </si>
  <si>
    <t>SRO 1160 dated November 25, 2015 issued by SECP has amended Clause 60 of NBFC Regulations, 2008. The new regulation has entitled the Management Company to reimbursement of fees and expenses related to registrar services, accounting, operation and valuation services related to CIS a maximum of 0.1% of average annual net assets of the scheme or actual whichever is less. Accordingly, the Fund has made an accrual of Rs.3.62 million for the half year ended December 31, 2016 at a rate of 0.1% of average annual net assets as the information related to actual expenses allocable to the Fund was not available at that time.</t>
  </si>
  <si>
    <t>FAIR VALUE OF FINANCIAL INSTRUMENTS</t>
  </si>
  <si>
    <t>FAIR VALUE HIERARCHY</t>
  </si>
  <si>
    <t>International Financial Reporting Standard 13, 'Fair Value Measurement' requires the Fund to classify assets using a fair value hierarchy that reflects the significance of the inputs used in making the measurements. The fair value hierarchy has the following levels:</t>
  </si>
  <si>
    <t>The Fund's income is exempt from Income Tax as per clause (99) of part I of the Second Schedule of the Income Tax Ordinance, 2001 subject to the condition that not less than 90% of the accounting income for the year as reduced by capital gains whether realized or unrealized is distributed amongst the unit holders. The Fund is also exempt from the provision of Section 113 (minimum tax) under clause 11A of Part IV of the Second Schedule to the Income Tax Ordinance 2001. As the management intends to distribute at least 90% of income earned during the current year to the unit holders, therefore, no provision for taxation has been made in this condensed interim financial information.</t>
  </si>
  <si>
    <t>Earnings per unit (EPU)  has not been disclosed as in the opinion of the management determination of cumulative weighted average number of outstanding units for calculating EPU is not practicable.</t>
  </si>
  <si>
    <t>Unaudited</t>
  </si>
  <si>
    <t>Half year ended</t>
  </si>
  <si>
    <t>---------------------------- (Rupees in '000) ----------------------------</t>
  </si>
  <si>
    <t>MCB-Arif Habib Savings and Investments Limited</t>
  </si>
  <si>
    <t>Remuneration of the Management Company</t>
  </si>
  <si>
    <t xml:space="preserve">  (including indirect taxes)</t>
  </si>
  <si>
    <t>Federal excise duty on remuneration of Management</t>
  </si>
  <si>
    <t xml:space="preserve">  Company</t>
  </si>
  <si>
    <t>Sindh sales tax on remuneration of Management</t>
  </si>
  <si>
    <t>Allocated expenses (including indirect taxes)</t>
  </si>
  <si>
    <t>Central Depository Company of Pakistan Limited -</t>
  </si>
  <si>
    <t xml:space="preserve">  Trustee</t>
  </si>
  <si>
    <t>Remuneration of the Trustee (including indirect taxes)</t>
  </si>
  <si>
    <t>Sale of securities - Face Value 400,000,000</t>
  </si>
  <si>
    <t>Sale of securities - Face Value 820,000,000</t>
  </si>
  <si>
    <t>Arif Habib Limited - Brokerage House</t>
  </si>
  <si>
    <t>Next Capital Limited - Brokerage House</t>
  </si>
  <si>
    <t>Summit Capital (Private) Limited - Brokerage House</t>
  </si>
  <si>
    <t>13.2</t>
  </si>
  <si>
    <t>Balance outstanding as at the period / year end are as follows:</t>
  </si>
  <si>
    <t>Management fee payable</t>
  </si>
  <si>
    <t>Sindh sales tax payable on management fee</t>
  </si>
  <si>
    <t>Allocated expenses payable</t>
  </si>
  <si>
    <t xml:space="preserve">Legal and professional charges payable </t>
  </si>
  <si>
    <t>Sindh sales tax payable on trustee fee</t>
  </si>
  <si>
    <t>Bank deposits**</t>
  </si>
  <si>
    <t>Brokerage payable*</t>
  </si>
  <si>
    <t>The amount disclosed represents the amount of brokerage paid to connected persons and not the purchase or sale value of securities transacted through them. The purchase or sale value has not been treated as transactions with connected persons as the ultimate counter parties are not connected persons.</t>
  </si>
  <si>
    <t>**</t>
  </si>
  <si>
    <t xml:space="preserve">This includes Rs 214.99 million (June 30, 2016: 57.068 million) in saving accounts carrying profit at the rate of 3.75% to 6.75% (June 30, 2016: 3.75% to 6.4%) per annum. </t>
  </si>
  <si>
    <t>13.3</t>
  </si>
  <si>
    <t>Transactions during the period with connected persons / related parties in the units of the Fund:</t>
  </si>
  <si>
    <t>December 31, 2016</t>
  </si>
  <si>
    <t>December 31, 2015</t>
  </si>
  <si>
    <t>(Units)</t>
  </si>
  <si>
    <t>Units sold to:</t>
  </si>
  <si>
    <t>D.G. Khan Cement Company Limited***</t>
  </si>
  <si>
    <t>Adamjee Life Assurance Co. Ltd-ISF-II***</t>
  </si>
  <si>
    <t>Adamjee Life Assurance Co. Ltd-ISF-Fund***</t>
  </si>
  <si>
    <t>Adamjee Life Assurance Co. Ltd-NUIL-Fund***</t>
  </si>
  <si>
    <t>Nishat Mills Limited Employees Provident Fund Trust***</t>
  </si>
  <si>
    <t>Mandate Under Discretionary Portfolio Services</t>
  </si>
  <si>
    <t>Units redeemed by:</t>
  </si>
  <si>
    <t>Adamjee Insurance Company Limited - Investment Dept</t>
  </si>
  <si>
    <t>Adamjee Life Assurance Co. Ltd-ISF-II</t>
  </si>
  <si>
    <t>Adamjee Life Assurance Co. Ltd-ISF-Fund</t>
  </si>
  <si>
    <t>Adamjee Life Assurance Co. Ltd-NUIL-Fund</t>
  </si>
  <si>
    <t>Nishat Mills Limited Employees Provident Fund Trust</t>
  </si>
  <si>
    <t>Units held by:</t>
  </si>
  <si>
    <t xml:space="preserve">Adamjee Life Assurance Company Limited </t>
  </si>
  <si>
    <t>Adamjee Life Assurance Company Limited - NUIL Fund</t>
  </si>
  <si>
    <t>Adamjee Life Assurance Company Limited - IMF Fund</t>
  </si>
  <si>
    <t>Adamjee Life Assurance Company Limited - ISF Fund</t>
  </si>
  <si>
    <t>Adamjee Life Assurance Company Limited - ISF-II Fund</t>
  </si>
  <si>
    <t>Pakistan Petroleum Limited***</t>
  </si>
  <si>
    <t>Gul Ahmed Energy Limited ***</t>
  </si>
  <si>
    <t>***</t>
  </si>
  <si>
    <t>These persons became connected persons / related parties during the period due to acquiring unit holding of more than 10% of net assets of the Fund.</t>
  </si>
  <si>
    <t>DATE OF AUTHORISATION</t>
  </si>
  <si>
    <t xml:space="preserve">This condensed interim financial information was authorized for issue by the Board of Directors of the Management Company on ________________ . </t>
  </si>
  <si>
    <t>Chief Executive Officer                                                                                            Director</t>
  </si>
  <si>
    <t>---------------------- (Rupees in '000') -------------</t>
  </si>
  <si>
    <t xml:space="preserve">   Investments classified as Available for sale</t>
  </si>
  <si>
    <t>-----------------------------------June 30, 2018 -----------------------------------</t>
  </si>
  <si>
    <t>Net income for the period before taxation</t>
  </si>
  <si>
    <t>NET ASSETS VALUE PER UNIT</t>
  </si>
  <si>
    <t>Balance as per bank</t>
  </si>
  <si>
    <t>Differecne check mark</t>
  </si>
  <si>
    <t xml:space="preserve"> -------------------------------------------(Rupees in '000) ----------------------------------------</t>
  </si>
  <si>
    <t>BASIS OF PREPARATION</t>
  </si>
  <si>
    <t>2.1</t>
  </si>
  <si>
    <t>SELLING AND MARKETING EXPENSES</t>
  </si>
  <si>
    <t>Fair value is the price that would be received to sell an asset or paid to transfer a liability in an orderly transaction between market participants at the measurement date.</t>
  </si>
  <si>
    <t>Figures have been rounded off to the nearest thousand rupees.</t>
  </si>
  <si>
    <t xml:space="preserve">                                                       For MCB-Arif Habib Savings and Investments Limited</t>
  </si>
  <si>
    <t xml:space="preserve">                                                                               (Management Company)</t>
  </si>
  <si>
    <t xml:space="preserve">           _____________________                          _____________________                          _____________________</t>
  </si>
  <si>
    <t xml:space="preserve">            Chief Executive Officer                              Chief Financial Officer                                          Director</t>
  </si>
  <si>
    <t>Undistri-buted income</t>
  </si>
  <si>
    <t>Statement of compliance</t>
  </si>
  <si>
    <t>5.2.1</t>
  </si>
  <si>
    <t xml:space="preserve">Pakistan Investment </t>
  </si>
  <si>
    <t>Market  value</t>
  </si>
  <si>
    <t>(Diminu-tion) / apprecia-tion</t>
  </si>
  <si>
    <t>Apprecia-tion / (diminu-tion)</t>
  </si>
  <si>
    <t>5.3.1</t>
  </si>
  <si>
    <t>Carrying value as a
percentage of total
invest-ments</t>
  </si>
  <si>
    <t>Market
value as a
percentage
of total
invest-ments</t>
  </si>
  <si>
    <t>Jahangir Siddiqui &amp; Company Limited</t>
  </si>
  <si>
    <t>Byco Petroleum Limited</t>
  </si>
  <si>
    <t>(31-03-2008 issue) - Due but not received</t>
  </si>
  <si>
    <t>Investment classified at fair value through profit and loss</t>
  </si>
  <si>
    <t>Level 1: quoted prices (unadjusted) in active markets for identical assets or liabilities.</t>
  </si>
  <si>
    <t>Level 2: inputs other than quoted prices included within level 1 that are observable for the asset or liability, either directly (i.e., as prices) or indirectly (i.e., derived from prices)</t>
  </si>
  <si>
    <t>Level 3: inputs for the assets or liability that are not based on observable market data (that is, unobservable inputs).</t>
  </si>
  <si>
    <t>NOTES TO AND FORMING PART OF THE CONDENSED INTERIM FINANCIAL STATEMENTS (UNAUDITED)</t>
  </si>
  <si>
    <t>MCB - Arif Habib Savings &amp; Investments Limited - Management Company</t>
  </si>
  <si>
    <t>Loss on spread transactions</t>
  </si>
  <si>
    <t>Annual fee to Securities and Exchange Commission of Pakistan</t>
  </si>
  <si>
    <t xml:space="preserve">Unrealised diminution on re-measurement of </t>
  </si>
  <si>
    <t>Unrealised appreciation/(diminution) on 'available for sale' investments</t>
  </si>
  <si>
    <t>Unrealised appreciation / (diminution) on 'available for sale' investments</t>
  </si>
  <si>
    <t>Payment against redemption and conversion of units</t>
  </si>
  <si>
    <t>Receipts against issuance and conversion of units (excluding additional units)</t>
  </si>
  <si>
    <t>The Fund is an open-ended mutual fund and has been categorised as 'Aggressive Fixed Income Scheme' by the Board of Directors of the Management Company in pursuant to Circular 7 of 2009, dated 6 March 2009 issued by the SECP, and offers units for public subscription on a continuous basis. The units are transferable and can also be redeemed by surrendering to the Fund. Unit holders are divided into plan 'A' and plan 'B'. The unit holders under plan "A" are entitled for bonus units as well as cash dividend, whereas unit holders under plan "B" are entitled for cash dividend. The units are listed on Pakistan Stock Exchange Limited (PSX).</t>
  </si>
  <si>
    <t>The Fund primarily invests in a mix of listed equity and debt securities, unlisted government securities and secured debt securities, money market transactions, reverse repurchase transactions, spread transactions and transactions under Margin Trading System.</t>
  </si>
  <si>
    <t>Title to the assets of the Fund is held in the name of the Central Depository Company of Pakistan Limited as Trustee of the Fund.</t>
  </si>
  <si>
    <t xml:space="preserve">These condensed interim financial statements have been prepared in accordance with the accounting and reporting standards as applicable in Pakistan for condensed interim financial reporting. The accounting and reporting standards applicable in Pakistan for interim financial reporting comprise of:
</t>
  </si>
  <si>
    <t xml:space="preserve">Provisions of and directives issued under the Companies Act, 2017 along with part VIIIA of the repealed Companies Ordinance, 1984; and  </t>
  </si>
  <si>
    <t>Where provisions of and directives issued under the Companies Act, 2017, Part VIIIA of the repealed Companies Ordinance, 1984, the NBFC rules, the  NBFC Regulations and requirements of the Trust Deed differ from the International Accounting Standard (IAS) 34, Interim Financial Reporting,  the provisions of and directives issued under the Companies Act, 2017, Part VIIIA of the repealed Companies Ordinance, 1984,  the NBFC Rules, the NBFC Regulations and requirements of the Trust Deed have been followed.</t>
  </si>
  <si>
    <t>In current accounts</t>
  </si>
  <si>
    <t>In saving accounts</t>
  </si>
  <si>
    <t>CA</t>
  </si>
  <si>
    <t>SA</t>
  </si>
  <si>
    <t xml:space="preserve">Payable to MCB-Arif Habib Savings and Investments Limited -  </t>
  </si>
  <si>
    <t>Management Company</t>
  </si>
  <si>
    <t xml:space="preserve">Payable to the Securities and Exchange Commission of Pakistan </t>
  </si>
  <si>
    <t>investments classified as 'at fair value through profit or loss' - net</t>
  </si>
  <si>
    <t>Term finance certificates</t>
  </si>
  <si>
    <t>Book value</t>
  </si>
  <si>
    <t xml:space="preserve">The Bank of Punjab Limited </t>
  </si>
  <si>
    <t>Transferred to  financial assets at fair value through profit or loss category upon adoption of IFRS 9 - Note 3.3</t>
  </si>
  <si>
    <t>Bonds - 5 years</t>
  </si>
  <si>
    <t>Less: Provision for impairment</t>
  </si>
  <si>
    <t>December 14, 2017</t>
  </si>
  <si>
    <t>September 18, 2018</t>
  </si>
  <si>
    <t>Adjusted balance as at July 1, 2018</t>
  </si>
  <si>
    <t>Amortised cost as at July 1, 2018</t>
  </si>
  <si>
    <t>5.4.1</t>
  </si>
  <si>
    <t>Commercial papers - Fair value through profit or loss</t>
  </si>
  <si>
    <t>Transferred from amortised cost upon adoption of IFRS 9 - Note 3.3</t>
  </si>
  <si>
    <t>Bank deposits held</t>
  </si>
  <si>
    <t>Investment classified as fair value through profit or loss</t>
  </si>
  <si>
    <t>* This reflects position of related party / connected persons status</t>
  </si>
  <si>
    <t>Market  value as a percent-age of net assets</t>
  </si>
  <si>
    <t>Market value as a percent-age of total invest-ments</t>
  </si>
  <si>
    <t>Market value as a percentage of total investment</t>
  </si>
  <si>
    <t>* Face value of the investment is Rs. 100,000</t>
  </si>
  <si>
    <t xml:space="preserve">Security General Insurance Company </t>
  </si>
  <si>
    <t>Limited Employees Provident Fund Trust</t>
  </si>
  <si>
    <t xml:space="preserve">Mandate Under Discretionary </t>
  </si>
  <si>
    <t>Portfolio Services *</t>
  </si>
  <si>
    <t>Sindh sales tax  on remuneration of Management Company</t>
  </si>
  <si>
    <t xml:space="preserve">Sindh Sales tax on remuneration of Central Depository Company of </t>
  </si>
  <si>
    <t>Pakistan Limited - Trustee</t>
  </si>
  <si>
    <t>Back office payable</t>
  </si>
  <si>
    <t>Pakistan Income Enhancement Fund (the Fund) was established through a Trust Deed executed between Arif Habib Investments Limited (now MCB-Arif Habib Savings and Investments Limited), as Management Company and the Central Depository Company of Pakistan Limited (CDC) as Trustee. The Trust Deed was executed on July 14, 2008 and was approved by the Securities and Exchange Commission of Pakistan (SECP) on June 26, 2008 in accordance with the Asset Management Companies Rules, 1995 (AMC Rules) repealed by Non-Banking Finance Companies (Establishment and Regulation) Rules, 2003 (NBFC Rules).</t>
  </si>
  <si>
    <t>Disposed  during the period</t>
  </si>
  <si>
    <t xml:space="preserve"> diminu-tion</t>
  </si>
  <si>
    <t>Rs in '000'</t>
  </si>
  <si>
    <t>Transferred to financial assets at fair value through profit or loss category upon adoption of IFRS-9 Note- 3.3</t>
  </si>
  <si>
    <t>Transferred from financial assets at fair value through OCI category upon adoption of IFRS-9 Note- 3.3</t>
  </si>
  <si>
    <t>Name of security</t>
  </si>
  <si>
    <t>Number of certificates</t>
  </si>
  <si>
    <t>Face value per unit</t>
  </si>
  <si>
    <t>Interest rate per annum</t>
  </si>
  <si>
    <t>Maturity</t>
  </si>
  <si>
    <t>Secured / unsecured</t>
  </si>
  <si>
    <t>Rating</t>
  </si>
  <si>
    <t>Unsecured</t>
  </si>
  <si>
    <t>3M KIBOR+1%</t>
  </si>
  <si>
    <t>Secured</t>
  </si>
  <si>
    <t>6M KIBOR+1.2%</t>
  </si>
  <si>
    <t>AA-</t>
  </si>
  <si>
    <t>6M KIBOR+1%</t>
  </si>
  <si>
    <t xml:space="preserve">SECP vide a Circular No.40 of 2016 dated December 30, 2016 (later amended via circular 05 of 2017 dated February 13, 2017 and circular 5 of 2018 dated June 4, 2018) has allowed the Asset Management Companies to charge selling and marketing expenses to all categories of open-end mutual funds (except fund of funds and money market funds), initially for three years (from January 1, 2017 till December 31, 2019). The maximum cap of selling and marketing expense shall be 0.4% per annum of net assets of the Fund or actual expenses whichever is lower. Accordingly, such expenses have been charged at the rate of 0.4% of net assets of the Fund, being lower than actual expenses incurred. </t>
  </si>
  <si>
    <t>Investments classified as available for sale</t>
  </si>
  <si>
    <t>------------------------Rs in '000'--------------------</t>
  </si>
  <si>
    <t>-------------Rs in '000'------------</t>
  </si>
  <si>
    <t>--------------Rs in '000'------------</t>
  </si>
  <si>
    <t>PAYABLE TO THE MANAGEMENT COMPANY</t>
  </si>
  <si>
    <t xml:space="preserve">   -   Relating to capital gains</t>
  </si>
  <si>
    <t xml:space="preserve">   -   Excluding capital gains</t>
  </si>
  <si>
    <t>Face value/ redemption value in total</t>
  </si>
  <si>
    <t xml:space="preserve">June 30, </t>
  </si>
  <si>
    <t xml:space="preserve">Dawood Hercules Corporation Limited - </t>
  </si>
  <si>
    <t>Sukuk (16 November, 2017)</t>
  </si>
  <si>
    <t xml:space="preserve">Askari Bank Limited IV - </t>
  </si>
  <si>
    <t xml:space="preserve">The Bank of Punjab Limited - </t>
  </si>
  <si>
    <t>TFC 23 December, 2016)</t>
  </si>
  <si>
    <t>TFC (30 September, 2014)</t>
  </si>
  <si>
    <t>Market value** as a percentage of net assets</t>
  </si>
  <si>
    <t>Listed debt securities - Term Finance Certificates/Sukuks</t>
  </si>
  <si>
    <t>March 31, 2019</t>
  </si>
  <si>
    <t>-----------------------------March 31, 2019 -----------------------------------</t>
  </si>
  <si>
    <t>At March 31, 2019</t>
  </si>
  <si>
    <t>As at March 31, 2019</t>
  </si>
  <si>
    <t>Closing balance as at March 31, 2019</t>
  </si>
  <si>
    <t>Printing and related costs</t>
  </si>
  <si>
    <t>Dec</t>
  </si>
  <si>
    <t>The disclosures made in this condensed interim financial information have, however, been limited based on the requirements of the International Accounting Standard 34: 'Interim Financial Reporting'. This condensed interim financial information is unaudited.</t>
  </si>
  <si>
    <t>In compliance with schedule V of the NBFC Regulations the Directors of the Management Company, hereby declare that this condensed interim financial statement give a true and fair view of the Fund.</t>
  </si>
  <si>
    <t xml:space="preserve">This condensed interim financial information is presented in Pak Rupees which is the functional and presentation currency of the Fund.
</t>
  </si>
  <si>
    <t>TRANSACTIONS AND BALANCES OUTSTANDING WITH CONNECTED PERSONS / OTHER RELATED PARTIES</t>
  </si>
  <si>
    <t>Related parties / connected persons of the Fund include the Management Company, other collective investment schemes managed by the Management Company, MCB Bank Limited being the holding company of the Management Company, the Trustee, directors and key management personnel, other associated undertakings and unit holders holding more than 10% units of the Fund.</t>
  </si>
  <si>
    <t>Remuneration payable to the Management Company and the Trustee is determined in accordance with the provision of the NBFC Regulations 2008 and Constitutive documents of the Fund.</t>
  </si>
  <si>
    <t>Details of transactions and balances at period end with related parties / connected persons, other than those which have 
been disclosed elsewhere in these financial statements, are as follows:</t>
  </si>
  <si>
    <t>The amount disclosed represents the amount of brokerage paid to connected persons and not the purchase or sale value of securities transacted through them. The purchase or sale value has not been treated as transactions with connected persons as the ultimate counter parties are not connected persons</t>
  </si>
  <si>
    <t>Payable To Securities And Exchange Commission Of Pakistan</t>
  </si>
  <si>
    <t>Financial assets which are tradable in an open market are revalued at market prices prevailing on the statement of assets and liabilities date. The estimated fair value of all other financial assets and liabilities is considered not to be significantly different from the respective book values.</t>
  </si>
  <si>
    <t xml:space="preserve">  Investment classified as loans and receivable</t>
  </si>
  <si>
    <t>2.1.1</t>
  </si>
  <si>
    <t>2.1.2</t>
  </si>
  <si>
    <t>2.1.3</t>
  </si>
  <si>
    <t>2.1.4</t>
  </si>
  <si>
    <t>2.1.5</t>
  </si>
  <si>
    <t>2.1.6</t>
  </si>
  <si>
    <t>Government securities - Fair value through profit or loss</t>
  </si>
  <si>
    <t>Listed debt securities - Fair value through profit or loss</t>
  </si>
  <si>
    <t>Unlisted debt securities - Fair value through profit or loss</t>
  </si>
  <si>
    <t>Earnings per unit based on cumulative weighted average units for the period has not been disclosed as in the opinion of the Management Company, the determination of the same is not practicable.</t>
  </si>
  <si>
    <t>International Accounting Standard (IAS) 34, Interim Financial Reporting, issued by  the International Accounting Standards Board (IASB) as notified under the Companies Act, 2017 (the Act);</t>
  </si>
  <si>
    <t>Current Yr SST</t>
  </si>
  <si>
    <t>Sep 30,</t>
  </si>
  <si>
    <t>Sep 30, 
2019</t>
  </si>
  <si>
    <t>June 30, 
2019</t>
  </si>
  <si>
    <t>Significant terms and conditions of term finance certificates and other securities outstanding at September 30, 2019 are as follows:</t>
  </si>
  <si>
    <t>Legal advisor payable</t>
  </si>
  <si>
    <t>010100100114</t>
  </si>
  <si>
    <t>Bank Balances -Allied Bank Limited-Kse Branch</t>
  </si>
  <si>
    <t>0314001001</t>
  </si>
  <si>
    <t>Marketing And Selling Payable</t>
  </si>
  <si>
    <t>040200100111</t>
  </si>
  <si>
    <t xml:space="preserve"> Profit on - Allied Bank Limited - KSE Branch</t>
  </si>
  <si>
    <t>0501006001</t>
  </si>
  <si>
    <t>Marketing And Selling Expense</t>
  </si>
  <si>
    <t>Selling and Marketing Payable</t>
  </si>
  <si>
    <t>Amounts</t>
  </si>
  <si>
    <t>Sales &amp; Conversion in</t>
  </si>
  <si>
    <t>Redemption &amp; Conversion out</t>
  </si>
  <si>
    <t>Unlisted debt securities - Term Finance Certificates/Sukuks - Fair value through profit or loss</t>
  </si>
  <si>
    <t>*Treasury bills - 6 months</t>
  </si>
  <si>
    <t>Selling and Marketing</t>
  </si>
  <si>
    <t>The total expense ratio of the Fund from July 1, 2019 to September 30, 2019 is 0.75 % (September 30, 2018: 1.63%) and this includes 0.13% (September 30, 2018: 0.10%) representing government levy, Sindh Worker's Welfare Fund and SECP fee. This ratio is within the maximum limit of 2.5 % (2018: 2%) prescribed under the NBFC Regulations for a collective investment scheme categorized as a "Aggressive Fixed Income Scheme".</t>
  </si>
  <si>
    <t>Payable against purchase of investment</t>
  </si>
  <si>
    <t>Basis of Measurement</t>
  </si>
  <si>
    <t>This condensed interim financial information have been prepared on the basis of historical cost convention except that investments have been included at fair value.</t>
  </si>
  <si>
    <t>SIGNIFICANT ACCOUNTING POLICIES</t>
  </si>
  <si>
    <t>Estimates and Judgements</t>
  </si>
  <si>
    <t xml:space="preserve">Financial Risk Management </t>
  </si>
  <si>
    <t>Corresponding figures have been reclassified and rearranged in these condensed interim financial statements, wherever necessary, for the purpose of better presentation. However, no significant rearrangements or reclassifications were made in these condensed interim financial statements to report.</t>
  </si>
  <si>
    <t xml:space="preserve">| </t>
  </si>
  <si>
    <t>Increase / (Decrease) in liabilities</t>
  </si>
  <si>
    <t>Standards, amendments and interpretations to existing standards not yet effective and not applicable/ relevant to the Fund</t>
  </si>
  <si>
    <t>There are certain standards, amendments to the approved accounting standards and interpretations that are mandatory for the Fund’s accounting periods beginning on or after July 1, 2019 but are considered not to be relevant or do not have any significant effect on the Fund's operations and are, therefore, not detailed in these condensed interim financial statements.</t>
  </si>
  <si>
    <t>Quarter Ended</t>
  </si>
  <si>
    <t xml:space="preserve">additional units </t>
  </si>
  <si>
    <t xml:space="preserve">
September 30, 2020</t>
  </si>
  <si>
    <t>The Management Company of the Fund has been licensed to act as an Asset Management Company under the Non Banking Finance Companies (Establishment and Regulations) Rules 2003 through a certificate of registration issued by the SECP. The registered office of the Management Company is situated at 2nd Floor, Adamjee House, I.I Chundrigar Road, Karachi, Pakistan.</t>
  </si>
  <si>
    <t>As at Sep 30, 2020</t>
  </si>
  <si>
    <t>For the Quarter ended September 30, 2020 (unaudited)</t>
  </si>
  <si>
    <t>As at 
July 01, 2020</t>
  </si>
  <si>
    <t>010100100122</t>
  </si>
  <si>
    <t>BANK BALANCES - ALLIED BANK LIMITED FX Current A/C</t>
  </si>
  <si>
    <t>010303600000</t>
  </si>
  <si>
    <t>APPRECIAION/DIMUNITION ON PIB FRB -HFT</t>
  </si>
  <si>
    <t>010303600003</t>
  </si>
  <si>
    <t>DISCOUNT/AMORTIZATION ON PIB FRB- HFT</t>
  </si>
  <si>
    <t>010601100089</t>
  </si>
  <si>
    <t>Profit Receivable - Habib Bank Limited Kse Branch</t>
  </si>
  <si>
    <t>010601100110</t>
  </si>
  <si>
    <t>Profit Receivable - Allied Bank Limited - Kse Branch</t>
  </si>
  <si>
    <t>010601700001</t>
  </si>
  <si>
    <t>ACCRUED PROFIT ON GOP IJARA SUKUK</t>
  </si>
  <si>
    <t>010602800001</t>
  </si>
  <si>
    <t>ACCRUED PROFIT ON PIB - FRB</t>
  </si>
  <si>
    <t>030100200003</t>
  </si>
  <si>
    <t>Back-End Load Payable</t>
  </si>
  <si>
    <t>040100500001</t>
  </si>
  <si>
    <t>CAPITAL GAIN / (LOSS) ON SALE OF GOP IJARA</t>
  </si>
  <si>
    <t>040102000001</t>
  </si>
  <si>
    <t>URG / LOSS INVESTMENT IN PIB FRB -HFT</t>
  </si>
  <si>
    <t>040200700001</t>
  </si>
  <si>
    <t>INCOME ON GOVERNMENT SECURITIES  GOP IJARA SUKUK</t>
  </si>
  <si>
    <t>040202500001</t>
  </si>
  <si>
    <t>AMORTIZATION / DISCOUNT ON GOVT SEC PIBS FRB</t>
  </si>
  <si>
    <t>Future stock contracts</t>
  </si>
  <si>
    <t>Allocated expenses</t>
  </si>
  <si>
    <t>Profit Receivable</t>
  </si>
  <si>
    <t>Laga and Levy on MTS</t>
  </si>
  <si>
    <t>Investment in Term Finance Certificate</t>
  </si>
  <si>
    <t>Today</t>
  </si>
  <si>
    <t>S.No.</t>
  </si>
  <si>
    <t>Issue Dt</t>
  </si>
  <si>
    <t>Code</t>
  </si>
  <si>
    <t>Name of TFCs</t>
  </si>
  <si>
    <t>Holding</t>
  </si>
  <si>
    <t>Outstanding Face Vale</t>
  </si>
  <si>
    <t>Avg Rate</t>
  </si>
  <si>
    <t>Per unit price</t>
  </si>
  <si>
    <t>Valuation Gain/ Loss</t>
  </si>
  <si>
    <t>Net valuation gain / loss</t>
  </si>
  <si>
    <t>Traded/Non-Traded</t>
  </si>
  <si>
    <t>Previous Day</t>
  </si>
  <si>
    <t>Mufap Rates or PSX rate/ Per Unit price</t>
  </si>
  <si>
    <t>RATE DIFF./ DAY</t>
  </si>
  <si>
    <t>Discretion</t>
  </si>
  <si>
    <t>Markup amount</t>
  </si>
  <si>
    <t xml:space="preserve">Valuation </t>
  </si>
  <si>
    <t>Formula</t>
  </si>
  <si>
    <t>Old</t>
  </si>
  <si>
    <t>HBL/TFC/190216</t>
  </si>
  <si>
    <t>Non-Traded</t>
  </si>
  <si>
    <t>AKBL/TFC/300914</t>
  </si>
  <si>
    <t>BOP/TFC/231216</t>
  </si>
  <si>
    <t>THE BANK OF PUNJAB -TFC (23-12-16)</t>
  </si>
  <si>
    <t>Traded</t>
  </si>
  <si>
    <t>BAHL/TFC/170316</t>
  </si>
  <si>
    <t>Bank Al-Habib Ltd. - TFC (17-03-16)</t>
  </si>
  <si>
    <t>AKBL/TFC/170320</t>
  </si>
  <si>
    <t>ASKARI BANK LTD. - TFC (17-03-20)</t>
  </si>
  <si>
    <t>JSCL/TFC/180717</t>
  </si>
  <si>
    <t>JAHANGIR SIDDIQUI &amp; COMPANY LTD-TFC (18-07-2017)</t>
  </si>
  <si>
    <t>BPPL/SUK/180117</t>
  </si>
  <si>
    <t>BYCO PETROLEUM PAKISTAN LTD. - SUKUK (18-01-17)</t>
  </si>
  <si>
    <t>DHCL/SUK/010318</t>
  </si>
  <si>
    <t>DAWOOD HERCULES CORPORATION LTD. SUKUK (01-03-18)</t>
  </si>
  <si>
    <t>PESC2</t>
  </si>
  <si>
    <t>Pakistan Energy Sukuk</t>
  </si>
  <si>
    <t>Provision of Pace Pakistan</t>
  </si>
  <si>
    <t>Total provisioning</t>
  </si>
  <si>
    <t>,</t>
  </si>
  <si>
    <t>Net Amount</t>
  </si>
  <si>
    <t>As per NAV</t>
  </si>
  <si>
    <t>Automobile Assembler</t>
  </si>
  <si>
    <t>Pak Suzuki Motors Company Limited</t>
  </si>
  <si>
    <t>Cable &amp; Electrical Goods</t>
  </si>
  <si>
    <t>Cement</t>
  </si>
  <si>
    <t>Chemicals</t>
  </si>
  <si>
    <t>Engro Polymer and Chemicals Limited</t>
  </si>
  <si>
    <t>Engineering</t>
  </si>
  <si>
    <t>Mughal Iron &amp; Steel Industries Limited</t>
  </si>
  <si>
    <t>Oil And Gas Marketing Companies</t>
  </si>
  <si>
    <t>Sui Southern Gas Company Limited</t>
  </si>
  <si>
    <t>Pharmaceuticals</t>
  </si>
  <si>
    <t>Power Generation &amp; Distribution</t>
  </si>
  <si>
    <t>Kot Addu Power Co. Limited</t>
  </si>
  <si>
    <t>Refinery</t>
  </si>
  <si>
    <t>Technology &amp; Communications</t>
  </si>
  <si>
    <t>Avanceon Limited</t>
  </si>
  <si>
    <t>Netsol Technologies</t>
  </si>
  <si>
    <t>Textile Composite</t>
  </si>
  <si>
    <t>Nishat (Chunian) Limited</t>
  </si>
  <si>
    <t>Transport</t>
  </si>
  <si>
    <t>Pakistan Interntional Bulk Terminal Limited</t>
  </si>
  <si>
    <t>Unity Foods Limited</t>
  </si>
  <si>
    <t>Oil &amp; Gas Exploration Companies</t>
  </si>
  <si>
    <t>Income on spread transactions</t>
  </si>
  <si>
    <t>Sales during the period</t>
  </si>
  <si>
    <t>K-Electric Limited*</t>
  </si>
  <si>
    <t>*These have a face value of Rs 3.5 per share</t>
  </si>
  <si>
    <t>7.4.1</t>
  </si>
  <si>
    <t>The movement in equity securities represents spread transactions entered into by the Fund. The Fund purchases equity securities in ready settlement market and sells the securities in future settlement market on the same day, resulting in spread income / (loss) due to difference in ready and future stock prices.</t>
  </si>
  <si>
    <t>Askari Bank Limited (17-3-20 issue)*</t>
  </si>
  <si>
    <t>* Nominal value of this certificate is Rs.1000,000 per certificate.</t>
  </si>
  <si>
    <t>** Nominal value of this certificate is Rs.100,000 per certificate.</t>
  </si>
  <si>
    <t>(23-12-16 issue)**</t>
  </si>
  <si>
    <t>(18-07-2017 issue)***</t>
  </si>
  <si>
    <t>(18-01-2017 issue) **-Sukuk</t>
  </si>
  <si>
    <t>*** Nominal value of this certificate is Rs.5,000 per certificate.</t>
  </si>
  <si>
    <t>(Un-Audited)</t>
  </si>
  <si>
    <t>Commitments</t>
  </si>
  <si>
    <t>------ (Rupees in '000) ------</t>
  </si>
  <si>
    <t>Future sale transactions of equity securities entered into by the</t>
  </si>
  <si>
    <t>Fund in respect of which the sale transactions have not been</t>
  </si>
  <si>
    <t>settled as at period end</t>
  </si>
  <si>
    <t>Margin Trading System (MTS)  entered into by the</t>
  </si>
  <si>
    <t>These condensed interim financial statements were authorised for issue on ___________________ by the Board of Directors of the Management Company.</t>
  </si>
  <si>
    <t>Unrealised (diminution) / appreciation in value of investments</t>
  </si>
  <si>
    <t xml:space="preserve">   at fair value through profit or loss - net</t>
  </si>
  <si>
    <t>'---- (Rupees in '000) ----</t>
  </si>
  <si>
    <t>Market value of investments</t>
  </si>
  <si>
    <t>Carrying value of investments</t>
  </si>
  <si>
    <t>Net unrealised (loss) / gain on derivatives</t>
  </si>
  <si>
    <t xml:space="preserve">Income from Margin Trading System (MTS) </t>
  </si>
  <si>
    <t>cg</t>
  </si>
  <si>
    <t>PIEF</t>
  </si>
  <si>
    <t>UNIT-A - GROWTH</t>
  </si>
  <si>
    <t>Opening Balance</t>
  </si>
  <si>
    <t>MUHAMMAD ASIF MEHDI RIZVI</t>
  </si>
  <si>
    <t>Closing Balance</t>
  </si>
  <si>
    <t>M. ASIF MEHDI RIZVI</t>
  </si>
  <si>
    <t>MURTAZA AKHTAR</t>
  </si>
  <si>
    <t>SHABBIR HUSSAIN</t>
  </si>
  <si>
    <t>MUHAMMAD SAQIB SALEEM</t>
  </si>
  <si>
    <t>CASH DIVIDEND - CASH DIVIDEND</t>
  </si>
  <si>
    <t xml:space="preserve">NIB BANK LTD. </t>
  </si>
  <si>
    <t>NASIM BEG</t>
  </si>
  <si>
    <t>MCB-ARIF HABIB SAVINGS AND INVESTMENTS LIMITED</t>
  </si>
  <si>
    <t xml:space="preserve">ARIF HABIB INVESTMENT MANAGEMENT EMPLOYE PROV.FUND </t>
  </si>
  <si>
    <t xml:space="preserve">TRUSTEES ARIF HABIB INV&amp; MNG.LTD.EMP.P.F </t>
  </si>
  <si>
    <t>ARIF HABIB INVEST. MANAGEMENT EMPL. STOCK BENEFICIAL OWNERSHIP TRUST</t>
  </si>
  <si>
    <t xml:space="preserve">ADAMJEE INSURANCE CO. LTD. EMPLOYEES' PROVIDENT FUND </t>
  </si>
  <si>
    <t xml:space="preserve">ARIF HABIB INVESTMENT LTD </t>
  </si>
  <si>
    <t>ADAMJEE LIFE ASSURANCE CO. LTD.</t>
  </si>
  <si>
    <t>ADAMJEE LIFE ASSURANCE CO. LTD. CONVENTIONAL BUSINESS</t>
  </si>
  <si>
    <t>ADAMJEE INSURANCE CO. LTD.</t>
  </si>
  <si>
    <t>NISHAT MILLS LIMITED EMPLOYEES PROVIDENT FUND TRUST</t>
  </si>
  <si>
    <t>ADAMJEE LIFE ASSURANCE CO. LTD.-NUIL FUND</t>
  </si>
  <si>
    <t>ADAMJEE INSURANCE CO. LTD. EMPLOYEES GRATUITY FUND</t>
  </si>
  <si>
    <t xml:space="preserve">ADAMJEE INSURANCE CO LIMITED EMPLOYEES PROVIDENT FUND </t>
  </si>
  <si>
    <t>ADAMJEE INSURANCE CO. LTD-INVESTMENT DEPARTMENT</t>
  </si>
  <si>
    <t>SECURITY GENERAL INSURANCE COMPANY LTD</t>
  </si>
  <si>
    <t>ADAMJEE INSURANCE CO.LTD. EMPLOYEES GRATUITY FUND</t>
  </si>
  <si>
    <t>ADAMJEE INSURANCE CO.LTD EMPLOYEES PROVIDENT FUND</t>
  </si>
  <si>
    <t>SECURITY GENERAL INSURANCE CO. LTD. EMPLOYEES PROVIDENT FUND TRUST</t>
  </si>
  <si>
    <t>FATIMA FERT LIMITED MANAGEMENT STAFF GRATUITY FUND</t>
  </si>
  <si>
    <t>GETZ PHARMA PAKISTAN PRIVATE LIMITED EMPLOYEES PROVIDENT FUND</t>
  </si>
  <si>
    <t>SERVICE SALES CORPORATION PROVIDENT FUND TRUST</t>
  </si>
  <si>
    <t>CITY SCHOOLS PROVIDENT FUND TRUST</t>
  </si>
  <si>
    <t>S&amp;P GLOBAL PAKISTAN (PRIVATE) LIMITED EMPLOYEES PROVIDENT FUND</t>
  </si>
  <si>
    <t>ALI GOHAR &amp; CO (PVT.) LIMITED STAFF PROVIDENT FUND</t>
  </si>
  <si>
    <t>GREENSTAR SOCIAL MARKETING PAKISTAN(G) LTD.</t>
  </si>
  <si>
    <t>THE NAGHAT RASHEED TRUST</t>
  </si>
  <si>
    <t>JAFFER BROS. (PVT) LIMITED &amp; ASSOCIATED COMPANIES STAFF PROVIDENT FUND</t>
  </si>
  <si>
    <t>ACE EMPLOYEES PROVIDENT FUND TRUST</t>
  </si>
  <si>
    <t>4,31</t>
  </si>
  <si>
    <t>NATIONAL MANAGEMENT FOUNDATION</t>
  </si>
  <si>
    <t>7.1 to 7.4</t>
  </si>
  <si>
    <t>Other Comprehensive Income</t>
  </si>
  <si>
    <t xml:space="preserve">Profit on bank deposits </t>
  </si>
  <si>
    <t>Net increase in cash and cash equivalents during the year</t>
  </si>
  <si>
    <t xml:space="preserve">The Fund's income is exempt from income tax as per clause (99) of part I of the Second Schedule to the Income Tax Ordinance, 2001 subject to the condition that not less than 90% of the accounting income available for distribution for the year as reduced by capital gains whether realized or unrealized is distributed amongst the unit holders by way of cash dividend. Furthermore, as per regulation 63 of the Non-Banking Finance Companies and Notified Entities Regulation, 2008, the Fund is required to distribute 90% of the net accounting income available for distribution other than capital gains to the unit holders in cash. The Fund is also exempt from the provision of Section 113 (minimum tax) under clause 11A of Part IV of the Second Schedule to the Income Tax Ordinance, 2001. The management intends to distribute at least 90% of income to be earned during current year to the unit holders, therefore, no provision for taxation has been recorded in this condensed interim financial information. </t>
  </si>
  <si>
    <t>Net cash generated from financing activities</t>
  </si>
  <si>
    <t>AS AT SEPTEMBER 30, 2021</t>
  </si>
  <si>
    <t>2021</t>
  </si>
  <si>
    <t>Receivables against sale of investment</t>
  </si>
  <si>
    <t>FOR THE QUARTER ENDED SEPTEMBER 30, 2021</t>
  </si>
  <si>
    <t>Bank Balances - Finca Micro Finance Bank-(Liaquatabad Branch)</t>
  </si>
  <si>
    <t>BANK BALANCES - ALLIED BANK LIMITED - FX Current A/C</t>
  </si>
  <si>
    <t>GOP IJARA  APPRECIATION / DIMINUTION  HFT</t>
  </si>
  <si>
    <t>GOP IJARA  DISCOUNT / AMORTISATION  HFT</t>
  </si>
  <si>
    <t>PROFIT RECEIVABLE - BANK AL FALAH LIMITED  - KSE</t>
  </si>
  <si>
    <t>Sep 30, 
2021</t>
  </si>
  <si>
    <t>June 30, 
2021</t>
  </si>
  <si>
    <t>Capital gain tax payable</t>
  </si>
  <si>
    <t>Auditors' remuneration payable</t>
  </si>
  <si>
    <t>Printing expense payable</t>
  </si>
  <si>
    <t>Other payable</t>
  </si>
  <si>
    <t>Dividend, profit and other receivable</t>
  </si>
  <si>
    <t xml:space="preserve">
September 30, 2021</t>
  </si>
  <si>
    <t>FOR THE QUARTER  ENDED SEPTEMBER 30, 2021</t>
  </si>
  <si>
    <t>30, 2021</t>
  </si>
  <si>
    <t>Sindh Sales tax payable on remuneration to the Management Company</t>
  </si>
  <si>
    <t>Aisha Steel Mills Limited</t>
  </si>
  <si>
    <t>For the Quarter ended September 30, 2021 (unaudited)</t>
  </si>
  <si>
    <t>As at 
July 01, 2021</t>
  </si>
  <si>
    <t>As at Sep 30, 2021</t>
  </si>
  <si>
    <t xml:space="preserve">Reversal of Provision for Sindh Workers' Welfare Fund </t>
  </si>
  <si>
    <t xml:space="preserve">(Decrease) / Increase in assets </t>
  </si>
  <si>
    <t>The comparative in the statement of assets and liabilities presented in the condensed interim financial information as at 30 September 2021 have been extracted from the audited financial statements of the Fund for the year ended 30 June 2021, whereas the comparatives in the condensed interim income statement, condensed interim cash flow statement, condensed interim distribution statement and condensed interim statement of movement in unit holders' funds are stated from unaudited condensed interim financial information for the quarter ended 30 September 2020.</t>
  </si>
  <si>
    <t>At Sep 30, 2021</t>
  </si>
  <si>
    <t>At July 01, 2021</t>
  </si>
  <si>
    <t>As at September 30, 2021 (Unaudited)</t>
  </si>
  <si>
    <t>As at June 30, 2021 (Audited)</t>
  </si>
  <si>
    <t>At July 1, 2021</t>
  </si>
  <si>
    <t>As at
July 1,
2021</t>
  </si>
  <si>
    <t>As at July 1, 2021</t>
  </si>
  <si>
    <t>As at September 30, 2021</t>
  </si>
  <si>
    <t>Total at September 30, 2021</t>
  </si>
  <si>
    <t>Total at June 30, 2021</t>
  </si>
  <si>
    <t>There are no contingencies  outstanding as at September 30, 2021 and June 30, 2021.</t>
  </si>
  <si>
    <t>October 15, 2020</t>
  </si>
  <si>
    <t>Samba Bank Limited (01-03-2021)</t>
  </si>
  <si>
    <t>Sazgar Engineering Works Limited</t>
  </si>
  <si>
    <t>Waves Singer Pakistan Limited</t>
  </si>
  <si>
    <t>Power Cement Limited</t>
  </si>
  <si>
    <t>Ghani Global Holdings Limited</t>
  </si>
  <si>
    <t>Fauji Foods Limited</t>
  </si>
  <si>
    <t>The Organic Meat Company Limited</t>
  </si>
  <si>
    <t>Food &amp; Personal Care Products</t>
  </si>
  <si>
    <t>Glass &amp; Ceramics</t>
  </si>
  <si>
    <t>Tariq Glass Industries</t>
  </si>
  <si>
    <t>Pakistan State Oil Company Limited</t>
  </si>
  <si>
    <t>Sui Northern Gas Pipelines Limited</t>
  </si>
  <si>
    <t>Byco Petroleum Pakistan Limited</t>
  </si>
  <si>
    <t>Pakistan Refinery Limited</t>
  </si>
  <si>
    <t>Hum Network Limited</t>
  </si>
  <si>
    <t>Pakistan Telecommunication Company Limited</t>
  </si>
  <si>
    <t>TRG Pakistan Limited</t>
  </si>
  <si>
    <t>Miscellaneous</t>
  </si>
  <si>
    <t>Siddiqsons Tin Plate Limited</t>
  </si>
  <si>
    <t>Profit On - Finca Microfinance Bank (Liaquatabad Branch)</t>
  </si>
  <si>
    <t>Issue of 7,279,263 units (2020: 5,216,490 units) including</t>
  </si>
  <si>
    <t>Redemption of  2,199,831 units (2019: 4,059,102 units)</t>
  </si>
  <si>
    <t xml:space="preserve">Element </t>
  </si>
  <si>
    <t>Issuance</t>
  </si>
  <si>
    <t>Units Recon</t>
  </si>
  <si>
    <t>Issuances</t>
  </si>
  <si>
    <t>Redemptions</t>
  </si>
  <si>
    <t>10,000 shares (2021: 37,500) shares held</t>
  </si>
  <si>
    <t>Shares held 154,000 (2021: 524,000)</t>
  </si>
  <si>
    <t>This includes balances of Rs. 10.310 million (June 30, 2021: Rs. 7.683 million) maintained with MCB Bank Limited (a related party).</t>
  </si>
  <si>
    <t>These carry profits at the rates ranging from 5.75% to 8.6% (June 30, 2021: 5.5% to 9.75% ) per annum and include Rs. 0.447 (June 30, 2021: Rs. 7.683)  maintained with MCB Bank Limited, a related party which carries profit at the rate of 5.75% (June 30, 2021: 5.5%).</t>
  </si>
  <si>
    <t>The Searle Company Limited</t>
  </si>
  <si>
    <t>Dividend Income</t>
  </si>
  <si>
    <t>Shares held 700,500 (2021: Nil)</t>
  </si>
  <si>
    <t>Shares held 500 (2021: Nil)</t>
  </si>
  <si>
    <t>Shares held 78,000 (2021: Nil)</t>
  </si>
  <si>
    <t>Key management personnel*</t>
  </si>
  <si>
    <t>Sindh Revenue Board (SRB) through its letter dated August 12, 2021 received on August 13, 2021 has intimated Mutual Funds Association of Pakistan's (MUFAP) that the mutual funds do not qualify as Financial Institutions / Industrial Establishments and are therefore, not liable to pay the Sindh Workers’ Welfare Fund (SWWF) contributions. This development was discussed at MUFAP level and was also been taken up with the the Securities and Exchange Commission of Pakistan (SECP). All the Asset Management Companies, in consultation with SECP, have reversed the cumulative provision for SWWF recognised in the financial statements of the Funds till August 12, 2021 on August 13, 2021.</t>
  </si>
  <si>
    <t>SECP has also given its concurrence for recording reversal of provision of SWWF on the day letter was received by MUFAP. This reversal of provision has contributed towards an unusual increase in NAV of the Fund on August 13, 2021. This is one-off event and is not likely to be repeated in the future.</t>
  </si>
  <si>
    <t xml:space="preserve">Going forward, no provision for SWWF would be recognised in the financial statements of the Fund. </t>
  </si>
  <si>
    <t>FAIR VALUE MEASUREMENTS</t>
  </si>
  <si>
    <t xml:space="preserve">Fair value is the price that would be received to sell an asset or paid to transfer a liability in an orderly transaction between market participants at the measurement date. Consequently, differences can arise between carrying values and the fair value estimates.
</t>
  </si>
  <si>
    <t xml:space="preserve">Underlying the definition of fair value is the presumption that the Fund is a going concern without any intention or requirement to curtail materially the scale of its operations or to undertake a transaction on adverse terms.
</t>
  </si>
  <si>
    <t xml:space="preserve">Financial assets which are tradable in an open market are revalued at the market prices prevailing on the statement of assets and liabilities date. The estimated fair value of all other financial assets and liabilities is considered not to be significantly different from the respective book values.
</t>
  </si>
  <si>
    <t xml:space="preserve">Fair value hierarchy
</t>
  </si>
  <si>
    <t xml:space="preserve">International Financial Reporting Standard 13, 'Fair Value Measurement' requires the Fund to classify assets using a fair value hierarchy that reflects the significance of the inputs used in making the measurements. The fair value hierarchy has the following levels:
</t>
  </si>
  <si>
    <t xml:space="preserve">Level 1: quoted prices (unadjusted) in active markets for identical assets or liabilities;
</t>
  </si>
  <si>
    <t xml:space="preserve">Level 2: inputs other than quoted prices included within level 1 that are observable for the asset or liability either directly (i.e. as prices) or indirectly (i.e. derived from prices); and
</t>
  </si>
  <si>
    <t xml:space="preserve">Level 3: inputs for the asset or liability that are not based on observable market data (i.e. unobservable inputs).
</t>
  </si>
  <si>
    <t>Impact of COVID-19</t>
  </si>
  <si>
    <t>A novel strain of coronavirus (COVID-19) was classified as a pandemic by the World Health Organization on March 11, 2020, impacting countries globally. Measures taken to contain the spread of the virus, including lock-downs, travel bans, quarantines, social distancing, and closures of non-essential services and factories triggered significant disruptions to businesses worldwide and in Pakistan, resulting in an economic slowdown. During the lockdown that lasted from March to May 2020, the funds continued their activity, as the Pakistan Stock Exchange and the money markets continued trading. Management Company is of the view that while COVID-19 and its resulting containment measures have affected the economy, investors’ confidence and adequate steps from the government and regulators have spearheaded recovery and subsequent events reflect that in due course, things would be normalised.</t>
  </si>
  <si>
    <t>The Pakistan Credit Rating Agency (PACRA) Limited has assigned Management quality rating of AM1 dated October 06, 2020 to the Management Company and  "A+(f)'' as stability rating dated September 09, 2021 to the Fund.</t>
  </si>
  <si>
    <t>This condensed interim financial information does not include all the information and disclosures required for full annual financial statements and should be read in conjunction with the financial statements for the year ended 30 June 2021.</t>
  </si>
  <si>
    <t xml:space="preserve">The preparation of condensed interim financial information requires management to make judgments, estimates and assumptions that affect the application of accounting policies and the reported amounts of assets and liabilities, income and expenses. Actual results may differ from these estimates. In preparing this condensed interim financial information, the significant judgments made by management in applying accounting policies and the key sources of estimation uncertainty were the same as those that applied to financial statements as at and for the year ended 30 June 2021.
</t>
  </si>
  <si>
    <t>The Fund's financial risk management objectives and policies are consistent with that disclosed in the financial statements as at and for the year ended 30 June 2021.</t>
  </si>
  <si>
    <t>Purchase of 136,500 (2020: 102,000) shares</t>
  </si>
  <si>
    <t>Sale of 164,000 (2020: 23,500) shares</t>
  </si>
  <si>
    <t>Sale of 147,000 (2020: Nil) shares</t>
  </si>
  <si>
    <t>Purchase of 847,500 (2020: 23,000) shares</t>
  </si>
  <si>
    <t>Sale of 15,000 (2020: 2,000) shares</t>
  </si>
  <si>
    <t>Purchase of 15,500 (2020: 46,000) shares</t>
  </si>
  <si>
    <t>Purchase of 531,500 (2020: Nil) shares</t>
  </si>
  <si>
    <t>Sale of 901,500 (2020: Nil) shares</t>
  </si>
  <si>
    <t>Purchase of 206,000 (2020: Nil) shares</t>
  </si>
  <si>
    <t>Sale of 128,000 (2020: nil) shares</t>
  </si>
  <si>
    <t>Purchase of securites Face Value Nil (2020: 250,000,000)</t>
  </si>
  <si>
    <t>The annexed notes from 1 to 19 form an integral part of these condensed interim financial statements.</t>
  </si>
  <si>
    <t xml:space="preserve">The accounting policies adopted for the preparation of these condensed interim financial statements are the same as those applied in the preparation of the annual published financial statements of the Fund for the period ended June 30, 2021.  
</t>
  </si>
  <si>
    <t>There is no change in the status of the appeal filed by the Federal Board of Revenue in the Honorable Supreme Court of Pakistan in respect of levy of Federal Excise Duty as reported in the annual financial statements of the Fund for the year ended June 30, 2021. Had the said provision for FED not been recorded in the condensed interim financial information of the Fund, the net asset value of the Fund as at Sep 30, 2021 would have been higher/lower by Re. 1.27 per unit (June 30, 2021: Re. 1.83 per unit).</t>
  </si>
  <si>
    <t xml:space="preserve">The annualized total expense ratio of the Fund based on the current period results is 2.66% (September 30, 2020: 2.50%) and this includes 0.16% (September 30, 2020: 0.28%) representing government levy, SECP fee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</si>
</sst>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3">
    <numFmt numFmtId="41" formatCode="_(* #,##0_);_(* \(#,##0\);_(* &quot;-&quot;_);_(@_)"/>
    <numFmt numFmtId="44" formatCode="_(&quot;$&quot;* #,##0.00_);_(&quot;$&quot;* \(#,##0.00\);_(&quot;$&quot;* &quot;-&quot;??_);_(@_)"/>
    <numFmt numFmtId="43" formatCode="_(* #,##0.00_);_(* \(#,##0.00\);_(* &quot;-&quot;??_);_(@_)"/>
    <numFmt numFmtId="164" formatCode="_(* \+#,##0.0%_);_(* \-#,##0.0%_);_(* &quot; - &quot;_);_(@_)"/>
    <numFmt numFmtId="165" formatCode="_([$€-2]* #,##0.00_);_([$€-2]* \(#,##0.00\);_([$€-2]* &quot;-&quot;??_)"/>
    <numFmt numFmtId="166" formatCode="_(* #,##0_);_(* \(#,##0\);_(* &quot;-&quot;??_);_(@_)"/>
    <numFmt numFmtId="167" formatCode="_(* #,##0.0000_);_(* \(#,##0.0000\);_(* &quot;-&quot;??_);_(@_)"/>
    <numFmt numFmtId="168" formatCode="0.0"/>
    <numFmt numFmtId="169" formatCode="[$-409]mmmm\ d\,\ yyyy;@"/>
    <numFmt numFmtId="170" formatCode="[$-409]d/mmm/yyyy;@"/>
    <numFmt numFmtId="171" formatCode="\ mmmm\ dd\,\ yyyy"/>
    <numFmt numFmtId="172" formatCode="_ * #,##0.00_ ;_ * \-#,##0.00_ ;_ * &quot;-&quot;??_ ;_ @_ "/>
    <numFmt numFmtId="173" formatCode="_(* #,##0.000_);_(* \(#,##0.000\);_(* &quot;-&quot;??_);_(@_)"/>
    <numFmt numFmtId="174" formatCode="_(* #,##0_);_(* \(##,##0\);_(* &quot;-&quot;_);_(@_)"/>
    <numFmt numFmtId="175" formatCode="_(* 0.0%_);_(* 0.0%_);_(* &quot;-&quot;_);_(@_)"/>
    <numFmt numFmtId="176" formatCode="_(* #,##0_);_(* \(##,##0\);_(* &quot; - &quot;_);_(@_)"/>
    <numFmt numFmtId="177" formatCode="[$-409]d\-mmm\-yy;@"/>
    <numFmt numFmtId="178" formatCode="0.000%"/>
    <numFmt numFmtId="179" formatCode="#,##0_);\(#,##0\);_(* &quot;-&quot;?_);_(@_)"/>
    <numFmt numFmtId="180" formatCode="0.0000_ "/>
    <numFmt numFmtId="181" formatCode="#,##0.0000_);\(#,##0.0000\);_(* &quot;-&quot;??_);_(@_)"/>
    <numFmt numFmtId="182" formatCode="#,##0_);\(#,##0\);_(* &quot;-&quot;??_);_(@_)"/>
    <numFmt numFmtId="183" formatCode="#,##0.00_);\(#,##0.00\);_(* &quot;-&quot;??_);_(@_)"/>
    <numFmt numFmtId="184" formatCode="_(* #,##0.00000_);_(* \(#,##0.00000\);_(* &quot;-&quot;??_);_(@_)"/>
    <numFmt numFmtId="185" formatCode="0.00000"/>
    <numFmt numFmtId="186" formatCode="_ * #,##0_ ;_ * \-#,##0_ ;_ * &quot;-&quot;??_ ;_ @_ "/>
    <numFmt numFmtId="187" formatCode="_ * #,##0.000_ ;_ * \-#,##0.000_ ;_ * &quot;-&quot;??_ ;_ @_ "/>
    <numFmt numFmtId="188" formatCode="0.0000%"/>
    <numFmt numFmtId="189" formatCode="_ * #,##0.0000_ ;_ * \-#,##0.0000_ ;_ * &quot;-&quot;??_ ;_ @_ "/>
    <numFmt numFmtId="190" formatCode="_(* #,##0_);_(* \(#,##0\);_(* &quot;-&quot;???_);_(@_)"/>
    <numFmt numFmtId="191" formatCode="_(* #,##0.0_);_(* \(#,##0.0\);_(* &quot;-&quot;???_);_(@_)"/>
    <numFmt numFmtId="192" formatCode="[$-409]dddd\,\ mmmm\ dd\,\ yyyy"/>
    <numFmt numFmtId="193" formatCode="0.0000"/>
    <numFmt numFmtId="194" formatCode="[$-F800]dddd\,\ mmmm\ dd\,\ yyyy"/>
    <numFmt numFmtId="195" formatCode="[$-409]mmmm\-yy;@"/>
    <numFmt numFmtId="196" formatCode="_(* #,##0.0_);_(* \(#,##0.0\);_(* &quot;-&quot;??_);_(@_)"/>
    <numFmt numFmtId="197" formatCode="[$-409]mmm\-yy;@"/>
    <numFmt numFmtId="198" formatCode="0.000000000000"/>
    <numFmt numFmtId="199" formatCode="."/>
    <numFmt numFmtId="200" formatCode="_(* #,##0.0000000_);_(* \(#,##0.0000000\);_(* &quot;-&quot;??_);_(@_)"/>
    <numFmt numFmtId="201" formatCode="_(* #,##0.000000000_);_(* \(#,##0.000000000\);_(* &quot;-&quot;??_);_(@_)"/>
    <numFmt numFmtId="202" formatCode="_(* #,##0.00000000000_);_(* \(#,##0.00000000000\);_(* &quot;-&quot;??_);_(@_)"/>
    <numFmt numFmtId="203" formatCode="_(* #,##0_);_(* \(#,##0\);_(* \-_);_(@_)"/>
    <numFmt numFmtId="204" formatCode="_(* #,##0_);_(* \(#,##0\);_(* \-??_);_(@_)"/>
    <numFmt numFmtId="205" formatCode="_(* #,##0.0000_);_(* \(#,##0.0000\);_(* \-??_);_(@_)"/>
    <numFmt numFmtId="206" formatCode="#,##0.0000"/>
    <numFmt numFmtId="207" formatCode="_(* #,##0.00_);_(* \(#,##0.00\);_(* \-??_);_(@_)"/>
    <numFmt numFmtId="208" formatCode="_(* #,##0.0000_);_(* \(#,##0.0000\);_(* &quot;-&quot;????_);_(@_)"/>
    <numFmt numFmtId="209" formatCode="_(* #,##0.0_);_(* \(#,##0.0\);_(* &quot;-&quot;?_);_(@_)"/>
    <numFmt numFmtId="210" formatCode="#,##0.0000_);\(#,##0.0000\)"/>
    <numFmt numFmtId="211" formatCode="&quot;$&quot;\ #,##0.00;&quot;$&quot;\ \-#,##0.00"/>
    <numFmt numFmtId="212" formatCode="_-* #,##0.00_-;\-* #,##0.00_-;_-* &quot;-&quot;??_-;_-@_-"/>
    <numFmt numFmtId="213" formatCode="_ * #,##0.00_)_ _ ;_ * \(#,##0.00\)_ _ ;_ * &quot;-&quot;??_)_ _ ;_ @_ "/>
  </numFmts>
  <fonts count="194">
    <font>
      <sz val="12"/>
      <color theme="1"/>
      <name val="Times New Roman"/>
      <family val="1"/>
    </font>
    <font>
      <sz val="11"/>
      <color theme="1"/>
      <name val="Calibri"/>
      <family val="2"/>
      <scheme val="minor"/>
    </font>
    <font>
      <sz val="11"/>
      <color theme="1"/>
      <name val="Calibri"/>
      <family val="2"/>
      <scheme val="minor"/>
    </font>
    <font>
      <b/>
      <sz val="8"/>
      <color theme="1"/>
      <name val="Tahoma"/>
      <family val="2"/>
    </font>
    <font>
      <sz val="8"/>
      <color theme="1"/>
      <name val="Tahoma"/>
      <family val="2"/>
    </font>
    <font>
      <sz val="11"/>
      <color theme="1"/>
      <name val="Calibri"/>
      <family val="2"/>
      <scheme val="minor"/>
    </font>
    <font>
      <sz val="10"/>
      <name val="Arial"/>
      <family val="2"/>
    </font>
    <font>
      <sz val="10"/>
      <color indexed="8"/>
      <name val="Arial"/>
      <family val="2"/>
    </font>
    <font>
      <sz val="11"/>
      <name val="Times New Roman"/>
      <family val="1"/>
    </font>
    <font>
      <sz val="10"/>
      <name val="Times New Roman"/>
      <family val="1"/>
    </font>
    <font>
      <b/>
      <sz val="10"/>
      <name val="Calibri"/>
      <family val="2"/>
      <scheme val="minor"/>
    </font>
    <font>
      <b/>
      <i/>
      <sz val="10"/>
      <color indexed="10"/>
      <name val="Calibri"/>
      <family val="2"/>
    </font>
    <font>
      <b/>
      <sz val="10"/>
      <name val="Calibri"/>
      <family val="2"/>
    </font>
    <font>
      <sz val="10"/>
      <name val="Calibri"/>
      <family val="2"/>
      <scheme val="minor"/>
    </font>
    <font>
      <b/>
      <u/>
      <sz val="10"/>
      <name val="Calibri"/>
      <family val="2"/>
      <scheme val="minor"/>
    </font>
    <font>
      <b/>
      <sz val="10"/>
      <color theme="0"/>
      <name val="Calibri"/>
      <family val="2"/>
      <scheme val="minor"/>
    </font>
    <font>
      <b/>
      <i/>
      <sz val="10"/>
      <color rgb="FFFF0000"/>
      <name val="Calibri"/>
      <family val="2"/>
      <scheme val="minor"/>
    </font>
    <font>
      <b/>
      <sz val="24"/>
      <color rgb="FF000000"/>
      <name val="Calibri"/>
      <family val="2"/>
      <scheme val="minor"/>
    </font>
    <font>
      <b/>
      <sz val="24"/>
      <color rgb="FF92D400"/>
      <name val="Calibri"/>
      <family val="2"/>
      <scheme val="minor"/>
    </font>
    <font>
      <sz val="10"/>
      <color theme="1"/>
      <name val="Calibri"/>
      <family val="2"/>
      <scheme val="minor"/>
    </font>
    <font>
      <b/>
      <sz val="10"/>
      <color rgb="FF000000"/>
      <name val="Calibri"/>
      <family val="2"/>
      <scheme val="minor"/>
    </font>
    <font>
      <b/>
      <sz val="10"/>
      <color rgb="FF92D400"/>
      <name val="Calibri"/>
      <family val="2"/>
      <scheme val="minor"/>
    </font>
    <font>
      <b/>
      <sz val="10"/>
      <color rgb="FF00A1DE"/>
      <name val="Calibri"/>
      <family val="2"/>
      <scheme val="minor"/>
    </font>
    <font>
      <sz val="10"/>
      <color theme="0"/>
      <name val="Calibri"/>
      <family val="2"/>
      <scheme val="minor"/>
    </font>
    <font>
      <sz val="10"/>
      <color indexed="64"/>
      <name val="Calibri"/>
      <family val="2"/>
      <scheme val="minor"/>
    </font>
    <font>
      <b/>
      <sz val="10"/>
      <color theme="1"/>
      <name val="Arial"/>
      <family val="2"/>
    </font>
    <font>
      <sz val="10"/>
      <color theme="1"/>
      <name val="Arial"/>
      <family val="2"/>
    </font>
    <font>
      <b/>
      <sz val="10"/>
      <name val="Arial"/>
      <family val="2"/>
    </font>
    <font>
      <sz val="10"/>
      <color rgb="FFFF0000"/>
      <name val="Arial"/>
      <family val="2"/>
    </font>
    <font>
      <b/>
      <sz val="10"/>
      <color rgb="FFFF0000"/>
      <name val="Arial"/>
      <family val="2"/>
    </font>
    <font>
      <b/>
      <sz val="10"/>
      <color indexed="8"/>
      <name val="Arial"/>
      <family val="2"/>
    </font>
    <font>
      <sz val="10"/>
      <color theme="1" tint="0.499984740745262"/>
      <name val="Arial"/>
      <family val="2"/>
    </font>
    <font>
      <sz val="9"/>
      <color theme="1"/>
      <name val="Arial"/>
      <family val="2"/>
    </font>
    <font>
      <sz val="9"/>
      <color indexed="81"/>
      <name val="Tahoma"/>
      <family val="2"/>
    </font>
    <font>
      <b/>
      <sz val="9"/>
      <color indexed="81"/>
      <name val="Tahoma"/>
      <family val="2"/>
    </font>
    <font>
      <b/>
      <sz val="9"/>
      <name val="Arial"/>
      <family val="2"/>
    </font>
    <font>
      <sz val="9"/>
      <name val="Verdana"/>
      <family val="2"/>
    </font>
    <font>
      <b/>
      <sz val="18"/>
      <name val="Arial"/>
      <family val="2"/>
    </font>
    <font>
      <sz val="12"/>
      <name val="Arial"/>
      <family val="2"/>
    </font>
    <font>
      <sz val="11"/>
      <name val="Arial"/>
      <family val="2"/>
    </font>
    <font>
      <i/>
      <sz val="11"/>
      <name val="Calibri"/>
      <family val="2"/>
      <scheme val="minor"/>
    </font>
    <font>
      <b/>
      <sz val="9"/>
      <name val="Verdana"/>
      <family val="2"/>
    </font>
    <font>
      <b/>
      <i/>
      <sz val="9"/>
      <name val="Verdana"/>
      <family val="2"/>
    </font>
    <font>
      <i/>
      <sz val="9"/>
      <name val="Verdana"/>
      <family val="2"/>
    </font>
    <font>
      <b/>
      <sz val="9"/>
      <color indexed="8"/>
      <name val="Verdana"/>
      <family val="2"/>
    </font>
    <font>
      <b/>
      <i/>
      <sz val="9"/>
      <color rgb="FF0070C0"/>
      <name val="Verdana"/>
      <family val="2"/>
    </font>
    <font>
      <sz val="9"/>
      <color theme="0"/>
      <name val="Verdana"/>
      <family val="2"/>
    </font>
    <font>
      <i/>
      <sz val="9"/>
      <color theme="0"/>
      <name val="Verdana"/>
      <family val="2"/>
    </font>
    <font>
      <b/>
      <sz val="9"/>
      <color theme="0"/>
      <name val="Verdana"/>
      <family val="2"/>
    </font>
    <font>
      <b/>
      <i/>
      <sz val="9"/>
      <color theme="0"/>
      <name val="Verdana"/>
      <family val="2"/>
    </font>
    <font>
      <b/>
      <sz val="9"/>
      <color indexed="10"/>
      <name val="Verdana"/>
      <family val="2"/>
    </font>
    <font>
      <b/>
      <i/>
      <u/>
      <sz val="9"/>
      <color theme="0"/>
      <name val="Verdana"/>
      <family val="2"/>
    </font>
    <font>
      <sz val="9"/>
      <color indexed="8"/>
      <name val="Verdana"/>
      <family val="2"/>
    </font>
    <font>
      <sz val="9"/>
      <color rgb="FFFF0000"/>
      <name val="Verdana"/>
      <family val="2"/>
    </font>
    <font>
      <sz val="9"/>
      <color theme="1"/>
      <name val="Verdana"/>
      <family val="2"/>
    </font>
    <font>
      <b/>
      <i/>
      <sz val="9"/>
      <color indexed="8"/>
      <name val="Verdana"/>
      <family val="2"/>
    </font>
    <font>
      <sz val="9"/>
      <color rgb="FF000000"/>
      <name val="Verdana"/>
      <family val="2"/>
    </font>
    <font>
      <b/>
      <sz val="9"/>
      <color rgb="FF000000"/>
      <name val="Verdana"/>
      <family val="2"/>
    </font>
    <font>
      <b/>
      <sz val="9"/>
      <color theme="1"/>
      <name val="Verdana"/>
      <family val="2"/>
    </font>
    <font>
      <b/>
      <sz val="9"/>
      <color rgb="FFFF0000"/>
      <name val="Verdana"/>
      <family val="2"/>
    </font>
    <font>
      <b/>
      <i/>
      <sz val="9"/>
      <color theme="3"/>
      <name val="Verdana"/>
      <family val="2"/>
    </font>
    <font>
      <b/>
      <i/>
      <sz val="9"/>
      <color theme="1"/>
      <name val="Verdana"/>
      <family val="2"/>
    </font>
    <font>
      <b/>
      <sz val="10"/>
      <name val="Verdana"/>
      <family val="2"/>
    </font>
    <font>
      <b/>
      <sz val="10"/>
      <color rgb="FF92D050"/>
      <name val="Verdana"/>
      <family val="2"/>
    </font>
    <font>
      <sz val="10"/>
      <name val="Verdana"/>
      <family val="2"/>
    </font>
    <font>
      <b/>
      <sz val="10"/>
      <color theme="0"/>
      <name val="Verdana"/>
      <family val="2"/>
    </font>
    <font>
      <b/>
      <sz val="10"/>
      <color indexed="9"/>
      <name val="Verdana"/>
      <family val="2"/>
    </font>
    <font>
      <sz val="10"/>
      <color rgb="FF000000"/>
      <name val="Verdana"/>
      <family val="2"/>
    </font>
    <font>
      <b/>
      <sz val="10"/>
      <color rgb="FFFF0000"/>
      <name val="Verdana"/>
      <family val="2"/>
    </font>
    <font>
      <sz val="11"/>
      <color indexed="8"/>
      <name val="Calibri"/>
      <family val="2"/>
    </font>
    <font>
      <sz val="10"/>
      <color rgb="FFFF0000"/>
      <name val="Verdana"/>
      <family val="2"/>
    </font>
    <font>
      <b/>
      <sz val="11"/>
      <name val="Times New Roman"/>
      <family val="1"/>
    </font>
    <font>
      <sz val="11"/>
      <color theme="1"/>
      <name val="Times New Roman"/>
      <family val="1"/>
    </font>
    <font>
      <b/>
      <sz val="10"/>
      <name val="Times New Roman"/>
      <family val="1"/>
    </font>
    <font>
      <sz val="10"/>
      <color theme="1"/>
      <name val="Times New Roman"/>
      <family val="1"/>
    </font>
    <font>
      <b/>
      <u/>
      <sz val="10"/>
      <name val="Times New Roman"/>
      <family val="1"/>
    </font>
    <font>
      <b/>
      <sz val="10"/>
      <color theme="1"/>
      <name val="Times New Roman"/>
      <family val="1"/>
    </font>
    <font>
      <b/>
      <sz val="10"/>
      <color rgb="FFFF0000"/>
      <name val="Times New Roman"/>
      <family val="1"/>
    </font>
    <font>
      <sz val="10"/>
      <color rgb="FFFF0000"/>
      <name val="Times New Roman"/>
      <family val="1"/>
    </font>
    <font>
      <b/>
      <sz val="6"/>
      <name val="Times New Roman"/>
      <family val="1"/>
    </font>
    <font>
      <sz val="7"/>
      <name val="Times New Roman"/>
      <family val="1"/>
    </font>
    <font>
      <b/>
      <sz val="7"/>
      <name val="Times New Roman"/>
      <family val="1"/>
    </font>
    <font>
      <sz val="6"/>
      <color rgb="FFFF0000"/>
      <name val="Times New Roman"/>
      <family val="1"/>
    </font>
    <font>
      <sz val="6"/>
      <name val="Times New Roman"/>
      <family val="1"/>
    </font>
    <font>
      <sz val="7"/>
      <color theme="1"/>
      <name val="Times New Roman"/>
      <family val="1"/>
    </font>
    <font>
      <sz val="8"/>
      <name val="Times New Roman"/>
      <family val="1"/>
    </font>
    <font>
      <b/>
      <sz val="8"/>
      <name val="Times New Roman"/>
      <family val="1"/>
    </font>
    <font>
      <sz val="8"/>
      <color rgb="FFFF0000"/>
      <name val="Times New Roman"/>
      <family val="1"/>
    </font>
    <font>
      <sz val="8"/>
      <color theme="1"/>
      <name val="Times New Roman"/>
      <family val="1"/>
    </font>
    <font>
      <b/>
      <i/>
      <sz val="10"/>
      <name val="Times New Roman"/>
      <family val="1"/>
    </font>
    <font>
      <b/>
      <sz val="9"/>
      <name val="Times New Roman"/>
      <family val="1"/>
    </font>
    <font>
      <sz val="9"/>
      <name val="Times New Roman"/>
      <family val="1"/>
    </font>
    <font>
      <sz val="9"/>
      <color theme="1"/>
      <name val="Times New Roman"/>
      <family val="1"/>
    </font>
    <font>
      <b/>
      <sz val="10"/>
      <color indexed="8"/>
      <name val="Times New Roman"/>
      <family val="1"/>
    </font>
    <font>
      <b/>
      <sz val="9"/>
      <color theme="0"/>
      <name val="Times New Roman"/>
      <family val="1"/>
    </font>
    <font>
      <sz val="9"/>
      <color theme="3"/>
      <name val="Times New Roman"/>
      <family val="1"/>
    </font>
    <font>
      <sz val="10"/>
      <color indexed="8"/>
      <name val="Times New Roman"/>
      <family val="1"/>
    </font>
    <font>
      <b/>
      <sz val="9"/>
      <color theme="1"/>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sz val="9"/>
      <name val="Arial"/>
      <family val="2"/>
    </font>
    <font>
      <i/>
      <sz val="9"/>
      <name val="Arial"/>
      <family val="2"/>
    </font>
    <font>
      <sz val="9"/>
      <color rgb="FF000000"/>
      <name val="Arial"/>
      <family val="2"/>
    </font>
    <font>
      <b/>
      <sz val="9"/>
      <color indexed="8"/>
      <name val="Arial"/>
      <family val="2"/>
    </font>
    <font>
      <b/>
      <sz val="9"/>
      <color theme="1"/>
      <name val="Arial"/>
      <family val="2"/>
    </font>
    <font>
      <b/>
      <i/>
      <sz val="9"/>
      <name val="Arial"/>
      <family val="2"/>
    </font>
    <font>
      <b/>
      <sz val="9"/>
      <color rgb="FFFF0000"/>
      <name val="Arial"/>
      <family val="2"/>
    </font>
    <font>
      <b/>
      <i/>
      <sz val="9"/>
      <color theme="1"/>
      <name val="Arial"/>
      <family val="2"/>
    </font>
    <font>
      <sz val="9"/>
      <color rgb="FFFF0000"/>
      <name val="Arial"/>
      <family val="2"/>
    </font>
    <font>
      <sz val="9"/>
      <color rgb="FF222222"/>
      <name val="Arial"/>
      <family val="2"/>
    </font>
    <font>
      <sz val="9"/>
      <color indexed="8"/>
      <name val="Arial"/>
      <family val="2"/>
    </font>
    <font>
      <b/>
      <sz val="7.5"/>
      <name val="Arial"/>
      <family val="2"/>
    </font>
    <font>
      <sz val="7.5"/>
      <name val="Arial"/>
      <family val="2"/>
    </font>
    <font>
      <sz val="7.5"/>
      <color theme="1"/>
      <name val="Arial"/>
      <family val="2"/>
    </font>
    <font>
      <b/>
      <sz val="9"/>
      <color indexed="10"/>
      <name val="Arial"/>
      <family val="2"/>
    </font>
    <font>
      <b/>
      <sz val="8"/>
      <name val="Arial"/>
      <family val="2"/>
    </font>
    <font>
      <sz val="12"/>
      <name val="Times New Roman"/>
      <family val="1"/>
    </font>
    <font>
      <b/>
      <sz val="8"/>
      <color theme="1"/>
      <name val="Arial"/>
      <family val="2"/>
    </font>
    <font>
      <sz val="8"/>
      <color theme="1"/>
      <name val="Arial"/>
      <family val="2"/>
    </font>
    <font>
      <b/>
      <i/>
      <sz val="8"/>
      <color theme="1"/>
      <name val="Arial"/>
      <family val="2"/>
    </font>
    <font>
      <i/>
      <sz val="8"/>
      <color theme="1"/>
      <name val="Arial"/>
      <family val="2"/>
    </font>
    <font>
      <sz val="7.5"/>
      <name val="Arial Narrow"/>
      <family val="2"/>
    </font>
    <font>
      <b/>
      <sz val="7.5"/>
      <name val="Arial Narrow"/>
      <family val="2"/>
    </font>
    <font>
      <b/>
      <sz val="8"/>
      <name val="Arial Narrow"/>
      <family val="2"/>
    </font>
    <font>
      <sz val="8"/>
      <name val="Arial Narrow"/>
      <family val="2"/>
    </font>
    <font>
      <b/>
      <sz val="7"/>
      <name val="Arial Narrow"/>
      <family val="2"/>
    </font>
    <font>
      <sz val="8"/>
      <color theme="1"/>
      <name val="Arial Narrow"/>
      <family val="2"/>
    </font>
    <font>
      <b/>
      <sz val="8"/>
      <color theme="1"/>
      <name val="Arial Narrow"/>
      <family val="2"/>
    </font>
    <font>
      <b/>
      <sz val="7.5"/>
      <color theme="1"/>
      <name val="Arial Narrow"/>
      <family val="2"/>
    </font>
    <font>
      <b/>
      <sz val="8"/>
      <color rgb="FFFF0000"/>
      <name val="Arial"/>
      <family val="2"/>
    </font>
    <font>
      <sz val="8"/>
      <color rgb="FFFF0000"/>
      <name val="Arial"/>
      <family val="2"/>
    </font>
    <font>
      <b/>
      <sz val="8"/>
      <name val="Calibri"/>
      <family val="2"/>
      <scheme val="minor"/>
    </font>
    <font>
      <sz val="8"/>
      <name val="Calibri"/>
      <family val="2"/>
      <scheme val="minor"/>
    </font>
    <font>
      <sz val="8"/>
      <color theme="1"/>
      <name val="Calibri"/>
      <family val="2"/>
      <scheme val="minor"/>
    </font>
    <font>
      <sz val="12"/>
      <name val="Times New Roman "/>
    </font>
    <font>
      <sz val="7"/>
      <color theme="1"/>
      <name val="Arial Narrow"/>
      <family val="2"/>
    </font>
    <font>
      <b/>
      <sz val="7"/>
      <color theme="1"/>
      <name val="Arial Narrow"/>
      <family val="2"/>
    </font>
    <font>
      <sz val="7"/>
      <name val="Arial"/>
      <family val="2"/>
    </font>
    <font>
      <b/>
      <sz val="7"/>
      <color theme="1"/>
      <name val="Arial"/>
      <family val="2"/>
    </font>
    <font>
      <b/>
      <sz val="11"/>
      <color rgb="FF000000"/>
      <name val="Calibri"/>
      <family val="2"/>
    </font>
    <font>
      <sz val="9"/>
      <color theme="0"/>
      <name val="Arial"/>
      <family val="2"/>
    </font>
    <font>
      <sz val="9"/>
      <color theme="3"/>
      <name val="Arial"/>
      <family val="2"/>
    </font>
    <font>
      <sz val="12"/>
      <color theme="1"/>
      <name val="Calibri"/>
      <family val="2"/>
      <scheme val="minor"/>
    </font>
    <font>
      <b/>
      <sz val="12"/>
      <color theme="1"/>
      <name val="Calibri"/>
      <family val="2"/>
      <scheme val="minor"/>
    </font>
    <font>
      <b/>
      <sz val="12"/>
      <color indexed="9"/>
      <name val="Calibri"/>
      <family val="2"/>
      <scheme val="minor"/>
    </font>
    <font>
      <b/>
      <sz val="12"/>
      <color theme="0"/>
      <name val="Calibri"/>
      <family val="2"/>
      <scheme val="minor"/>
    </font>
    <font>
      <b/>
      <sz val="12"/>
      <color rgb="FFFF0000"/>
      <name val="Calibri"/>
      <family val="2"/>
      <scheme val="minor"/>
    </font>
    <font>
      <sz val="12"/>
      <name val="Calibri"/>
      <family val="2"/>
      <scheme val="minor"/>
    </font>
    <font>
      <u val="singleAccounting"/>
      <sz val="12"/>
      <color theme="1"/>
      <name val="Calibri"/>
      <family val="2"/>
      <scheme val="minor"/>
    </font>
    <font>
      <sz val="12"/>
      <color rgb="FFFF0000"/>
      <name val="Calibri"/>
      <family val="2"/>
      <scheme val="minor"/>
    </font>
    <font>
      <sz val="15"/>
      <color theme="0"/>
      <name val="Calibri"/>
      <family val="2"/>
      <scheme val="minor"/>
    </font>
    <font>
      <b/>
      <sz val="15"/>
      <color theme="0"/>
      <name val="Calibri"/>
      <family val="2"/>
      <scheme val="minor"/>
    </font>
    <font>
      <b/>
      <i/>
      <sz val="15"/>
      <color theme="0"/>
      <name val="Calibri"/>
      <family val="2"/>
      <scheme val="minor"/>
    </font>
    <font>
      <b/>
      <i/>
      <sz val="15"/>
      <color rgb="FFFFC000"/>
      <name val="Calibri"/>
      <family val="2"/>
      <scheme val="minor"/>
    </font>
    <font>
      <sz val="15"/>
      <color theme="1"/>
      <name val="Calibri"/>
      <family val="2"/>
      <scheme val="minor"/>
    </font>
    <font>
      <b/>
      <sz val="16"/>
      <name val="Arial"/>
      <family val="2"/>
    </font>
    <font>
      <sz val="16"/>
      <name val="Arial"/>
      <family val="2"/>
    </font>
    <font>
      <sz val="11"/>
      <name val="Calibri"/>
      <family val="2"/>
      <scheme val="minor"/>
    </font>
    <font>
      <b/>
      <sz val="13"/>
      <name val="Arial"/>
      <family val="2"/>
    </font>
    <font>
      <b/>
      <sz val="14"/>
      <color rgb="FFFF0000"/>
      <name val="Arial"/>
      <family val="2"/>
    </font>
    <font>
      <b/>
      <sz val="12"/>
      <name val="Arial"/>
      <family val="2"/>
    </font>
    <font>
      <strike/>
      <sz val="12"/>
      <color theme="1"/>
      <name val="Calibri"/>
      <family val="2"/>
      <scheme val="minor"/>
    </font>
    <font>
      <sz val="12"/>
      <color theme="1"/>
      <name val="Times New Roman"/>
      <family val="1"/>
    </font>
    <font>
      <sz val="12"/>
      <color indexed="8"/>
      <name val="Times New Roman"/>
      <family val="1"/>
    </font>
    <font>
      <sz val="10"/>
      <name val="CG Omega"/>
      <family val="2"/>
    </font>
    <font>
      <b/>
      <sz val="9"/>
      <name val="Calibri"/>
      <family val="2"/>
      <scheme val="minor"/>
    </font>
    <font>
      <sz val="9"/>
      <name val="Calibri"/>
      <family val="2"/>
      <scheme val="minor"/>
    </font>
    <font>
      <b/>
      <sz val="10"/>
      <color rgb="FF000000"/>
      <name val="Courier New"/>
      <family val="3"/>
    </font>
    <font>
      <b/>
      <sz val="8"/>
      <color rgb="FF000000"/>
      <name val="Verdana"/>
      <family val="2"/>
    </font>
    <font>
      <b/>
      <sz val="8"/>
      <color rgb="FF000000"/>
      <name val="Arial"/>
      <family val="2"/>
    </font>
    <font>
      <sz val="8"/>
      <color rgb="FF000000"/>
      <name val="Arial"/>
      <family val="2"/>
    </font>
    <font>
      <b/>
      <sz val="8"/>
      <color rgb="FF000000"/>
      <name val="Courier New"/>
      <family val="3"/>
    </font>
    <font>
      <b/>
      <sz val="12"/>
      <color theme="1" tint="0.249977111117893"/>
      <name val="Times New Roman"/>
      <family val="1"/>
    </font>
    <font>
      <b/>
      <sz val="12"/>
      <color theme="1"/>
      <name val="Times New Roman"/>
      <family val="1"/>
    </font>
    <font>
      <b/>
      <sz val="12"/>
      <color theme="0"/>
      <name val="Times New Roman"/>
      <family val="1"/>
    </font>
    <font>
      <sz val="9"/>
      <color rgb="FF000000"/>
      <name val="Segoe UI"/>
      <family val="2"/>
    </font>
    <font>
      <sz val="11"/>
      <color theme="1"/>
      <name val="Arial"/>
      <family val="2"/>
    </font>
    <font>
      <sz val="11"/>
      <color theme="1" tint="0.14999847407452621"/>
      <name val="Arial"/>
      <family val="2"/>
    </font>
    <font>
      <b/>
      <sz val="11"/>
      <color theme="1" tint="0.14999847407452621"/>
      <name val="Arial"/>
      <family val="2"/>
    </font>
    <font>
      <sz val="9"/>
      <color theme="1" tint="0.14999847407452621"/>
      <name val="Arial"/>
      <family val="2"/>
    </font>
  </fonts>
  <fills count="5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215967"/>
        <bgColor indexed="64"/>
      </patternFill>
    </fill>
    <fill>
      <patternFill patternType="solid">
        <fgColor theme="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0"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ED0FC"/>
        <bgColor indexed="64"/>
      </patternFill>
    </fill>
    <fill>
      <patternFill patternType="solid">
        <fgColor indexed="17"/>
        <bgColor indexed="21"/>
      </patternFill>
    </fill>
    <fill>
      <patternFill patternType="solid">
        <fgColor rgb="FFFFFF00"/>
        <bgColor indexed="21"/>
      </patternFill>
    </fill>
    <fill>
      <patternFill patternType="solid">
        <fgColor theme="6" tint="-0.499984740745262"/>
        <bgColor indexed="64"/>
      </patternFill>
    </fill>
    <fill>
      <patternFill patternType="solid">
        <fgColor rgb="FF00B0F0"/>
        <bgColor indexed="64"/>
      </patternFill>
    </fill>
    <fill>
      <patternFill patternType="solid">
        <fgColor rgb="FFFFCCFF"/>
        <bgColor indexed="64"/>
      </patternFill>
    </fill>
    <fill>
      <patternFill patternType="solid">
        <fgColor rgb="FFF4F4F4"/>
        <bgColor indexed="64"/>
      </patternFill>
    </fill>
    <fill>
      <patternFill patternType="solid">
        <fgColor rgb="FFFFFFFF"/>
        <bgColor indexed="64"/>
      </patternFill>
    </fill>
    <fill>
      <patternFill patternType="solid">
        <fgColor rgb="FFC00000"/>
        <bgColor indexed="64"/>
      </patternFill>
    </fill>
  </fills>
  <borders count="119">
    <border>
      <left/>
      <right/>
      <top/>
      <bottom/>
      <diagonal/>
    </border>
    <border>
      <left/>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right/>
      <top style="thick">
        <color indexed="64"/>
      </top>
      <bottom style="double">
        <color indexed="64"/>
      </bottom>
      <diagonal/>
    </border>
    <border>
      <left style="medium">
        <color theme="0"/>
      </left>
      <right style="medium">
        <color theme="0"/>
      </right>
      <top style="medium">
        <color theme="0"/>
      </top>
      <bottom style="medium">
        <color theme="0"/>
      </bottom>
      <diagonal/>
    </border>
    <border>
      <left style="hair">
        <color indexed="64"/>
      </left>
      <right style="hair">
        <color indexed="64"/>
      </right>
      <top style="hair">
        <color indexed="64"/>
      </top>
      <bottom style="hair">
        <color indexed="64"/>
      </bottom>
      <diagonal/>
    </border>
    <border>
      <left style="medium">
        <color theme="0"/>
      </left>
      <right style="medium">
        <color theme="0"/>
      </right>
      <top style="medium">
        <color theme="0"/>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hair">
        <color auto="1"/>
      </left>
      <right style="hair">
        <color auto="1"/>
      </right>
      <top/>
      <bottom style="hair">
        <color auto="1"/>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diagonal/>
    </border>
    <border>
      <left/>
      <right style="thick">
        <color indexed="64"/>
      </right>
      <top/>
      <bottom/>
      <diagonal/>
    </border>
    <border>
      <left/>
      <right style="thick">
        <color indexed="64"/>
      </right>
      <top style="thin">
        <color indexed="64"/>
      </top>
      <bottom style="medium">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medium">
        <color indexed="64"/>
      </right>
      <top/>
      <bottom/>
      <diagonal/>
    </border>
  </borders>
  <cellStyleXfs count="194">
    <xf numFmtId="0" fontId="0" fillId="0" borderId="0"/>
    <xf numFmtId="43" fontId="5" fillId="0" borderId="0" applyFont="0" applyFill="0" applyBorder="0" applyAlignment="0" applyProtection="0"/>
    <xf numFmtId="0" fontId="6" fillId="0" borderId="0"/>
    <xf numFmtId="9" fontId="5" fillId="0" borderId="0" applyFont="0" applyFill="0" applyBorder="0" applyAlignment="0" applyProtection="0"/>
    <xf numFmtId="0" fontId="6" fillId="0" borderId="0"/>
    <xf numFmtId="0" fontId="6" fillId="0" borderId="0"/>
    <xf numFmtId="0" fontId="6" fillId="0" borderId="0"/>
    <xf numFmtId="194" fontId="6" fillId="0" borderId="0"/>
    <xf numFmtId="195"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5" fillId="0" borderId="0" applyFont="0" applyFill="0" applyBorder="0" applyAlignment="0" applyProtection="0"/>
    <xf numFmtId="0" fontId="98" fillId="0" borderId="91" applyNumberFormat="0" applyFill="0" applyAlignment="0" applyProtection="0"/>
    <xf numFmtId="0" fontId="99" fillId="0" borderId="92" applyNumberFormat="0" applyFill="0" applyAlignment="0" applyProtection="0"/>
    <xf numFmtId="0" fontId="100" fillId="0" borderId="93" applyNumberFormat="0" applyFill="0" applyAlignment="0" applyProtection="0"/>
    <xf numFmtId="0" fontId="100" fillId="0" borderId="0" applyNumberFormat="0" applyFill="0" applyBorder="0" applyAlignment="0" applyProtection="0"/>
    <xf numFmtId="0" fontId="101" fillId="11" borderId="0" applyNumberFormat="0" applyBorder="0" applyAlignment="0" applyProtection="0"/>
    <xf numFmtId="0" fontId="102" fillId="12" borderId="0" applyNumberFormat="0" applyBorder="0" applyAlignment="0" applyProtection="0"/>
    <xf numFmtId="0" fontId="103" fillId="13" borderId="0" applyNumberFormat="0" applyBorder="0" applyAlignment="0" applyProtection="0"/>
    <xf numFmtId="0" fontId="104" fillId="14" borderId="94" applyNumberFormat="0" applyAlignment="0" applyProtection="0"/>
    <xf numFmtId="0" fontId="105" fillId="15" borderId="95" applyNumberFormat="0" applyAlignment="0" applyProtection="0"/>
    <xf numFmtId="0" fontId="106" fillId="15" borderId="94" applyNumberFormat="0" applyAlignment="0" applyProtection="0"/>
    <xf numFmtId="0" fontId="107" fillId="0" borderId="96" applyNumberFormat="0" applyFill="0" applyAlignment="0" applyProtection="0"/>
    <xf numFmtId="0" fontId="108" fillId="16" borderId="97" applyNumberFormat="0" applyAlignment="0" applyProtection="0"/>
    <xf numFmtId="0" fontId="109" fillId="0" borderId="0" applyNumberFormat="0" applyFill="0" applyBorder="0" applyAlignment="0" applyProtection="0"/>
    <xf numFmtId="0" fontId="5" fillId="17" borderId="98" applyNumberFormat="0" applyFont="0" applyAlignment="0" applyProtection="0"/>
    <xf numFmtId="0" fontId="110" fillId="0" borderId="0" applyNumberFormat="0" applyFill="0" applyBorder="0" applyAlignment="0" applyProtection="0"/>
    <xf numFmtId="0" fontId="111" fillId="0" borderId="99" applyNumberFormat="0" applyFill="0" applyAlignment="0" applyProtection="0"/>
    <xf numFmtId="0" fontId="112"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12" fillId="21" borderId="0" applyNumberFormat="0" applyBorder="0" applyAlignment="0" applyProtection="0"/>
    <xf numFmtId="0" fontId="112"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12" fillId="25" borderId="0" applyNumberFormat="0" applyBorder="0" applyAlignment="0" applyProtection="0"/>
    <xf numFmtId="0" fontId="112"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12" fillId="29" borderId="0" applyNumberFormat="0" applyBorder="0" applyAlignment="0" applyProtection="0"/>
    <xf numFmtId="0" fontId="112"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12" fillId="33" borderId="0" applyNumberFormat="0" applyBorder="0" applyAlignment="0" applyProtection="0"/>
    <xf numFmtId="0" fontId="112"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112" fillId="37" borderId="0" applyNumberFormat="0" applyBorder="0" applyAlignment="0" applyProtection="0"/>
    <xf numFmtId="0" fontId="112"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112" fillId="41" borderId="0" applyNumberFormat="0" applyBorder="0" applyAlignment="0" applyProtection="0"/>
    <xf numFmtId="43" fontId="130" fillId="0" borderId="0" applyFont="0" applyFill="0" applyBorder="0" applyAlignment="0" applyProtection="0"/>
    <xf numFmtId="0" fontId="130" fillId="0" borderId="0"/>
    <xf numFmtId="0" fontId="7" fillId="0" borderId="0">
      <alignment vertical="top"/>
    </xf>
    <xf numFmtId="0" fontId="6" fillId="0" borderId="0"/>
    <xf numFmtId="0" fontId="130" fillId="0" borderId="0"/>
    <xf numFmtId="43" fontId="6" fillId="0" borderId="0" applyFont="0" applyFill="0" applyBorder="0" applyAlignment="0" applyProtection="0"/>
    <xf numFmtId="165" fontId="148" fillId="0" borderId="0"/>
    <xf numFmtId="43" fontId="130" fillId="0" borderId="0" applyFont="0" applyFill="0" applyBorder="0" applyAlignment="0" applyProtection="0"/>
    <xf numFmtId="165" fontId="130" fillId="0" borderId="0"/>
    <xf numFmtId="0" fontId="6" fillId="0" borderId="0"/>
    <xf numFmtId="9" fontId="130" fillId="0" borderId="0" applyFont="0" applyFill="0" applyBorder="0" applyAlignment="0" applyProtection="0"/>
    <xf numFmtId="0" fontId="6" fillId="0" borderId="0"/>
    <xf numFmtId="0" fontId="2" fillId="0" borderId="0"/>
    <xf numFmtId="43" fontId="2" fillId="0" borderId="0" applyFont="0" applyFill="0" applyBorder="0" applyAlignment="0" applyProtection="0"/>
    <xf numFmtId="177" fontId="6" fillId="0" borderId="0"/>
    <xf numFmtId="207" fontId="6" fillId="0" borderId="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8" fillId="0" borderId="0">
      <alignment vertical="top"/>
    </xf>
    <xf numFmtId="0" fontId="176" fillId="0" borderId="0"/>
    <xf numFmtId="0" fontId="130" fillId="0" borderId="0"/>
    <xf numFmtId="0" fontId="176" fillId="0" borderId="0"/>
    <xf numFmtId="0" fontId="130" fillId="0" borderId="0"/>
    <xf numFmtId="165" fontId="130" fillId="0" borderId="0"/>
    <xf numFmtId="0" fontId="1" fillId="0" borderId="0"/>
    <xf numFmtId="0" fontId="6" fillId="0" borderId="0"/>
    <xf numFmtId="0" fontId="6" fillId="0" borderId="0"/>
    <xf numFmtId="9" fontId="1" fillId="0" borderId="0" applyFont="0" applyFill="0" applyBorder="0" applyAlignment="0" applyProtection="0"/>
    <xf numFmtId="0" fontId="6" fillId="0" borderId="0"/>
    <xf numFmtId="0" fontId="8" fillId="0" borderId="0">
      <alignment vertical="top"/>
    </xf>
    <xf numFmtId="0" fontId="177" fillId="0" borderId="0"/>
    <xf numFmtId="0" fontId="176" fillId="0" borderId="0"/>
    <xf numFmtId="165" fontId="6" fillId="0" borderId="0">
      <alignment vertical="top"/>
    </xf>
    <xf numFmtId="0" fontId="6" fillId="0" borderId="0"/>
    <xf numFmtId="0" fontId="6" fillId="0" borderId="0"/>
    <xf numFmtId="211" fontId="6" fillId="0" borderId="0" applyFont="0" applyFill="0" applyBorder="0" applyAlignment="0" applyProtection="0"/>
    <xf numFmtId="43" fontId="130" fillId="0" borderId="0" applyFont="0" applyFill="0" applyBorder="0" applyAlignment="0" applyProtection="0"/>
    <xf numFmtId="0" fontId="6" fillId="0" borderId="0"/>
    <xf numFmtId="0" fontId="8" fillId="0" borderId="0">
      <alignment vertical="top"/>
    </xf>
    <xf numFmtId="0" fontId="176" fillId="0" borderId="0"/>
    <xf numFmtId="0" fontId="130" fillId="0" borderId="0">
      <alignment vertical="top"/>
    </xf>
    <xf numFmtId="0" fontId="130" fillId="0" borderId="0"/>
    <xf numFmtId="0" fontId="176" fillId="0" borderId="0"/>
    <xf numFmtId="212" fontId="178" fillId="0" borderId="0" applyFont="0" applyFill="0" applyBorder="0" applyAlignment="0" applyProtection="0"/>
    <xf numFmtId="213" fontId="6" fillId="0" borderId="0" applyFont="0" applyFill="0" applyBorder="0" applyAlignment="0" applyProtection="0"/>
    <xf numFmtId="0" fontId="130" fillId="0" borderId="0"/>
  </cellStyleXfs>
  <cellXfs count="3278">
    <xf numFmtId="0" fontId="0" fillId="0" borderId="0" xfId="0"/>
    <xf numFmtId="0" fontId="3" fillId="0" borderId="0" xfId="0" applyFont="1" applyAlignment="1">
      <alignment horizontal="center"/>
    </xf>
    <xf numFmtId="0" fontId="4" fillId="0" borderId="0" xfId="0" applyFont="1"/>
    <xf numFmtId="0" fontId="4" fillId="0" borderId="0" xfId="0" applyFont="1" applyFill="1"/>
    <xf numFmtId="176" fontId="4" fillId="0" borderId="0" xfId="0" applyNumberFormat="1" applyFont="1" applyAlignment="1">
      <alignment horizontal="left"/>
    </xf>
    <xf numFmtId="164" fontId="4" fillId="0" borderId="0" xfId="0" applyNumberFormat="1" applyFont="1" applyAlignment="1">
      <alignment horizontal="left"/>
    </xf>
    <xf numFmtId="37" fontId="4" fillId="0" borderId="0" xfId="0" applyNumberFormat="1" applyFont="1" applyFill="1" applyBorder="1" applyAlignment="1">
      <alignment horizontal="right"/>
    </xf>
    <xf numFmtId="0" fontId="3" fillId="0" borderId="0" xfId="0" applyFont="1" applyFill="1" applyAlignment="1">
      <alignment horizontal="center"/>
    </xf>
    <xf numFmtId="164" fontId="4" fillId="0" borderId="0" xfId="0" applyNumberFormat="1" applyFont="1" applyFill="1" applyBorder="1" applyAlignment="1">
      <alignment horizontal="left"/>
    </xf>
    <xf numFmtId="176" fontId="4" fillId="0" borderId="0" xfId="0" applyNumberFormat="1" applyFont="1" applyFill="1" applyBorder="1" applyAlignment="1">
      <alignment horizontal="left"/>
    </xf>
    <xf numFmtId="37" fontId="4" fillId="0" borderId="1" xfId="0" applyNumberFormat="1" applyFont="1" applyFill="1" applyBorder="1" applyAlignment="1">
      <alignment horizontal="right"/>
    </xf>
    <xf numFmtId="49" fontId="3" fillId="0" borderId="9" xfId="0" applyNumberFormat="1" applyFont="1" applyFill="1" applyBorder="1" applyAlignment="1">
      <alignment horizontal="center"/>
    </xf>
    <xf numFmtId="175" fontId="4" fillId="0" borderId="9" xfId="0" applyNumberFormat="1" applyFont="1" applyFill="1" applyBorder="1" applyAlignment="1">
      <alignment horizontal="center"/>
    </xf>
    <xf numFmtId="174" fontId="4" fillId="0" borderId="9" xfId="0" applyNumberFormat="1" applyFont="1" applyFill="1" applyBorder="1" applyAlignment="1">
      <alignment horizontal="center"/>
    </xf>
    <xf numFmtId="0" fontId="4" fillId="0" borderId="0" xfId="0" applyFont="1" applyFill="1" applyAlignment="1">
      <alignment horizontal="center"/>
    </xf>
    <xf numFmtId="49" fontId="4" fillId="0" borderId="0" xfId="0" applyNumberFormat="1" applyFont="1" applyFill="1" applyAlignment="1">
      <alignment horizontal="right"/>
    </xf>
    <xf numFmtId="49" fontId="4" fillId="0" borderId="0" xfId="0" applyNumberFormat="1" applyFont="1" applyAlignment="1">
      <alignment horizontal="right"/>
    </xf>
    <xf numFmtId="49" fontId="4" fillId="0" borderId="0" xfId="0" applyNumberFormat="1" applyFont="1" applyFill="1" applyAlignment="1">
      <alignment horizontal="left"/>
    </xf>
    <xf numFmtId="49" fontId="4" fillId="0" borderId="0" xfId="0" applyNumberFormat="1" applyFont="1" applyAlignment="1">
      <alignment horizontal="left"/>
    </xf>
    <xf numFmtId="49" fontId="3" fillId="0" borderId="0" xfId="0" applyNumberFormat="1" applyFont="1" applyFill="1" applyAlignment="1">
      <alignment horizontal="left"/>
    </xf>
    <xf numFmtId="37" fontId="4" fillId="0" borderId="20" xfId="0" applyNumberFormat="1" applyFont="1" applyFill="1" applyBorder="1" applyAlignment="1">
      <alignment horizontal="right"/>
    </xf>
    <xf numFmtId="49" fontId="3" fillId="0" borderId="0" xfId="0" applyNumberFormat="1" applyFont="1" applyFill="1" applyAlignment="1">
      <alignment horizontal="center"/>
    </xf>
    <xf numFmtId="0" fontId="4" fillId="0" borderId="0" xfId="0" applyFont="1" applyFill="1" applyAlignment="1">
      <alignment horizontal="right" wrapText="1"/>
    </xf>
    <xf numFmtId="49" fontId="4" fillId="0" borderId="0" xfId="0" applyNumberFormat="1" applyFont="1" applyFill="1" applyAlignment="1">
      <alignment horizontal="right" wrapText="1"/>
    </xf>
    <xf numFmtId="49" fontId="3" fillId="0" borderId="0" xfId="0" applyNumberFormat="1" applyFont="1" applyFill="1" applyAlignment="1">
      <alignment horizontal="right" wrapText="1"/>
    </xf>
    <xf numFmtId="176" fontId="0" fillId="0" borderId="0" xfId="0" applyNumberFormat="1" applyFont="1" applyAlignment="1">
      <alignment horizontal="left"/>
    </xf>
    <xf numFmtId="164" fontId="0" fillId="0" borderId="0" xfId="0" applyNumberFormat="1" applyFont="1" applyAlignment="1">
      <alignment horizontal="left"/>
    </xf>
    <xf numFmtId="37" fontId="4" fillId="0" borderId="9" xfId="0" applyNumberFormat="1" applyFont="1" applyFill="1" applyBorder="1" applyAlignment="1">
      <alignment horizontal="right"/>
    </xf>
    <xf numFmtId="49" fontId="0" fillId="0" borderId="0" xfId="0" applyNumberFormat="1" applyFont="1" applyAlignment="1">
      <alignment horizontal="right"/>
    </xf>
    <xf numFmtId="49" fontId="0" fillId="0" borderId="0" xfId="0" applyNumberFormat="1" applyFont="1" applyAlignment="1">
      <alignment horizontal="left"/>
    </xf>
    <xf numFmtId="37" fontId="4" fillId="0" borderId="21" xfId="0" applyNumberFormat="1" applyFont="1" applyFill="1" applyBorder="1" applyAlignment="1">
      <alignment horizontal="right"/>
    </xf>
    <xf numFmtId="37" fontId="4" fillId="0" borderId="5" xfId="0" applyNumberFormat="1" applyFont="1" applyFill="1" applyBorder="1" applyAlignment="1">
      <alignment horizontal="right"/>
    </xf>
    <xf numFmtId="0" fontId="10" fillId="0" borderId="0" xfId="0" applyFont="1"/>
    <xf numFmtId="0" fontId="13" fillId="0" borderId="0" xfId="0" applyFont="1" applyAlignment="1">
      <alignment horizontal="center"/>
    </xf>
    <xf numFmtId="0" fontId="13" fillId="0" borderId="0" xfId="0" applyFont="1"/>
    <xf numFmtId="166" fontId="13" fillId="0" borderId="0" xfId="0" applyNumberFormat="1" applyFont="1"/>
    <xf numFmtId="166" fontId="13" fillId="0" borderId="0" xfId="0" applyNumberFormat="1" applyFont="1" applyAlignment="1">
      <alignment horizontal="center"/>
    </xf>
    <xf numFmtId="166" fontId="13" fillId="0" borderId="0" xfId="0" applyNumberFormat="1" applyFont="1" applyAlignment="1">
      <alignment horizontal="center"/>
    </xf>
    <xf numFmtId="166" fontId="10" fillId="0" borderId="5" xfId="0" applyNumberFormat="1" applyFont="1" applyBorder="1" applyAlignment="1">
      <alignment horizontal="center"/>
    </xf>
    <xf numFmtId="0" fontId="14" fillId="0" borderId="0" xfId="0" applyFont="1" applyAlignment="1">
      <alignment horizontal="left"/>
    </xf>
    <xf numFmtId="0" fontId="10" fillId="0" borderId="11" xfId="0" applyFont="1" applyBorder="1"/>
    <xf numFmtId="41" fontId="10" fillId="0" borderId="10" xfId="0" applyNumberFormat="1" applyFont="1" applyBorder="1" applyAlignment="1">
      <alignment horizontal="center"/>
    </xf>
    <xf numFmtId="0" fontId="15" fillId="5" borderId="22" xfId="0" applyFont="1" applyFill="1" applyBorder="1" applyAlignment="1">
      <alignment horizontal="center"/>
    </xf>
    <xf numFmtId="0" fontId="10" fillId="0" borderId="0" xfId="0" applyFont="1" applyAlignment="1">
      <alignment horizontal="center"/>
    </xf>
    <xf numFmtId="166" fontId="13" fillId="0" borderId="23" xfId="0" applyNumberFormat="1" applyFont="1" applyBorder="1"/>
    <xf numFmtId="41" fontId="13" fillId="0" borderId="0" xfId="0" applyNumberFormat="1" applyFont="1" applyAlignment="1">
      <alignment horizontal="center"/>
    </xf>
    <xf numFmtId="41" fontId="10" fillId="0" borderId="8" xfId="0" applyNumberFormat="1" applyFont="1" applyBorder="1" applyAlignment="1">
      <alignment horizontal="center"/>
    </xf>
    <xf numFmtId="41" fontId="10" fillId="0" borderId="0" xfId="0" applyNumberFormat="1" applyFont="1" applyAlignment="1">
      <alignment horizontal="center"/>
    </xf>
    <xf numFmtId="0" fontId="10" fillId="0" borderId="0" xfId="0" applyFont="1" applyAlignment="1">
      <alignment horizontal="right"/>
    </xf>
    <xf numFmtId="41" fontId="10" fillId="0" borderId="5" xfId="0" applyNumberFormat="1" applyFont="1" applyBorder="1" applyAlignment="1">
      <alignment horizontal="center"/>
    </xf>
    <xf numFmtId="0" fontId="14" fillId="0" borderId="0" xfId="0" applyFont="1"/>
    <xf numFmtId="0" fontId="15" fillId="5" borderId="24" xfId="0" applyFont="1" applyFill="1" applyBorder="1" applyAlignment="1">
      <alignment horizontal="center"/>
    </xf>
    <xf numFmtId="0" fontId="16" fillId="0" borderId="0" xfId="0" applyFont="1" applyFill="1" applyBorder="1" applyAlignment="1">
      <alignment horizontal="center"/>
    </xf>
    <xf numFmtId="0" fontId="16" fillId="0" borderId="28" xfId="0" applyFont="1" applyFill="1" applyBorder="1" applyAlignment="1">
      <alignment horizontal="center"/>
    </xf>
    <xf numFmtId="0" fontId="16" fillId="0" borderId="0" xfId="0" applyFont="1" applyFill="1" applyAlignment="1">
      <alignment horizontal="center"/>
    </xf>
    <xf numFmtId="0" fontId="13" fillId="0" borderId="23" xfId="0" applyFont="1" applyBorder="1" applyAlignment="1">
      <alignment horizontal="center"/>
    </xf>
    <xf numFmtId="43" fontId="13" fillId="0" borderId="23" xfId="0" applyNumberFormat="1" applyFont="1" applyBorder="1"/>
    <xf numFmtId="166" fontId="13" fillId="0" borderId="23" xfId="0" applyNumberFormat="1" applyFont="1" applyBorder="1"/>
    <xf numFmtId="0" fontId="17" fillId="0" borderId="0" xfId="0" applyFont="1"/>
    <xf numFmtId="0" fontId="19" fillId="0" borderId="0" xfId="0" applyFont="1"/>
    <xf numFmtId="0" fontId="20" fillId="0" borderId="0" xfId="0" applyFont="1"/>
    <xf numFmtId="0" fontId="21" fillId="0" borderId="0" xfId="0" applyFont="1"/>
    <xf numFmtId="0" fontId="22" fillId="0" borderId="0" xfId="0" applyFont="1"/>
    <xf numFmtId="15" fontId="24" fillId="0" borderId="32" xfId="0" applyNumberFormat="1" applyFont="1" applyBorder="1"/>
    <xf numFmtId="166" fontId="19" fillId="0" borderId="32" xfId="1" applyNumberFormat="1" applyFont="1" applyBorder="1"/>
    <xf numFmtId="166" fontId="24" fillId="0" borderId="32" xfId="1" applyNumberFormat="1" applyFont="1" applyBorder="1"/>
    <xf numFmtId="166" fontId="19" fillId="0" borderId="32" xfId="1" applyNumberFormat="1" applyFont="1" applyFill="1" applyBorder="1"/>
    <xf numFmtId="15" fontId="24" fillId="0" borderId="23" xfId="0" applyNumberFormat="1" applyFont="1" applyBorder="1"/>
    <xf numFmtId="166" fontId="19" fillId="0" borderId="23" xfId="1" applyNumberFormat="1" applyFont="1" applyBorder="1"/>
    <xf numFmtId="166" fontId="24" fillId="0" borderId="23" xfId="1" applyNumberFormat="1" applyFont="1" applyBorder="1"/>
    <xf numFmtId="0" fontId="19" fillId="0" borderId="0" xfId="0" applyFont="1"/>
    <xf numFmtId="166" fontId="19" fillId="0" borderId="5" xfId="1" applyNumberFormat="1" applyFont="1" applyFill="1" applyBorder="1"/>
    <xf numFmtId="0" fontId="19" fillId="0" borderId="0" xfId="0" applyFont="1" applyAlignment="1">
      <alignment wrapText="1"/>
    </xf>
    <xf numFmtId="177" fontId="19" fillId="0" borderId="0" xfId="0" applyNumberFormat="1" applyFont="1"/>
    <xf numFmtId="43" fontId="19" fillId="0" borderId="0" xfId="1" applyFont="1"/>
    <xf numFmtId="43" fontId="19" fillId="0" borderId="0" xfId="1" applyFont="1" applyAlignment="1">
      <alignment wrapText="1"/>
    </xf>
    <xf numFmtId="43" fontId="19" fillId="0" borderId="0" xfId="0" applyNumberFormat="1" applyFont="1"/>
    <xf numFmtId="0" fontId="23" fillId="6" borderId="29" xfId="0" applyFont="1" applyFill="1" applyBorder="1" applyAlignment="1">
      <alignment horizontal="center" vertical="center"/>
    </xf>
    <xf numFmtId="0" fontId="23" fillId="6" borderId="30" xfId="0" applyFont="1" applyFill="1" applyBorder="1" applyAlignment="1">
      <alignment horizontal="center" vertical="center" wrapText="1"/>
    </xf>
    <xf numFmtId="0" fontId="23" fillId="6" borderId="31" xfId="0" applyFont="1" applyFill="1" applyBorder="1" applyAlignment="1">
      <alignment horizontal="center" vertical="center" wrapText="1"/>
    </xf>
    <xf numFmtId="37" fontId="4" fillId="0" borderId="0" xfId="0" applyNumberFormat="1" applyFont="1" applyFill="1"/>
    <xf numFmtId="43" fontId="4" fillId="0" borderId="0" xfId="1" applyFont="1" applyFill="1"/>
    <xf numFmtId="0" fontId="6" fillId="2" borderId="0" xfId="0" applyFont="1" applyFill="1"/>
    <xf numFmtId="10" fontId="6" fillId="2" borderId="0" xfId="0" applyNumberFormat="1" applyFont="1" applyFill="1" applyAlignment="1">
      <alignment horizontal="center"/>
    </xf>
    <xf numFmtId="0" fontId="6" fillId="0" borderId="0" xfId="0" applyFont="1"/>
    <xf numFmtId="10" fontId="6" fillId="0" borderId="0" xfId="0" applyNumberFormat="1" applyFont="1" applyAlignment="1">
      <alignment horizontal="center"/>
    </xf>
    <xf numFmtId="166" fontId="27" fillId="0" borderId="0" xfId="0" applyNumberFormat="1" applyFont="1" applyBorder="1" applyAlignment="1">
      <alignment horizontal="center"/>
    </xf>
    <xf numFmtId="166" fontId="6" fillId="0" borderId="0" xfId="0" applyNumberFormat="1" applyFont="1"/>
    <xf numFmtId="2" fontId="6" fillId="0" borderId="0" xfId="0" applyNumberFormat="1" applyFont="1"/>
    <xf numFmtId="0" fontId="27" fillId="0" borderId="0" xfId="0" quotePrefix="1" applyNumberFormat="1" applyFont="1" applyAlignment="1">
      <alignment horizontal="left"/>
    </xf>
    <xf numFmtId="0" fontId="27" fillId="0" borderId="0" xfId="0" quotePrefix="1" applyFont="1" applyAlignment="1">
      <alignment horizontal="center"/>
    </xf>
    <xf numFmtId="0" fontId="27" fillId="0" borderId="0" xfId="0" applyFont="1" applyAlignment="1">
      <alignment horizontal="center"/>
    </xf>
    <xf numFmtId="9" fontId="6" fillId="0" borderId="0" xfId="0" applyNumberFormat="1" applyFont="1" applyAlignment="1">
      <alignment horizontal="center"/>
    </xf>
    <xf numFmtId="0" fontId="6" fillId="0" borderId="0" xfId="0" applyFont="1" applyAlignment="1">
      <alignment horizontal="center"/>
    </xf>
    <xf numFmtId="0" fontId="6" fillId="0" borderId="0" xfId="0" applyFont="1" applyFill="1" applyAlignment="1">
      <alignment horizontal="center"/>
    </xf>
    <xf numFmtId="0" fontId="6" fillId="0" borderId="0" xfId="0" applyFont="1" applyFill="1"/>
    <xf numFmtId="0" fontId="29" fillId="0" borderId="0" xfId="0" applyFont="1" applyFill="1"/>
    <xf numFmtId="0" fontId="6" fillId="0" borderId="0" xfId="0" applyFont="1" applyFill="1" applyAlignment="1">
      <alignment vertical="top"/>
    </xf>
    <xf numFmtId="43" fontId="6" fillId="0" borderId="0" xfId="1" applyFont="1" applyFill="1"/>
    <xf numFmtId="0" fontId="6" fillId="0" borderId="0" xfId="0" applyFont="1" applyFill="1" applyAlignment="1"/>
    <xf numFmtId="0" fontId="6" fillId="0" borderId="0" xfId="0" applyFont="1" applyFill="1" applyBorder="1" applyAlignment="1"/>
    <xf numFmtId="166" fontId="6" fillId="0" borderId="0" xfId="0" applyNumberFormat="1" applyFont="1" applyFill="1"/>
    <xf numFmtId="0" fontId="6" fillId="0" borderId="0" xfId="0" applyFont="1" applyFill="1" applyAlignment="1">
      <alignment horizontal="left"/>
    </xf>
    <xf numFmtId="166" fontId="6" fillId="0" borderId="0" xfId="0" applyNumberFormat="1" applyFont="1" applyFill="1"/>
    <xf numFmtId="0" fontId="27" fillId="0" borderId="0" xfId="0" applyFont="1" applyFill="1" applyAlignment="1"/>
    <xf numFmtId="0" fontId="28" fillId="0" borderId="0" xfId="0" applyFont="1" applyFill="1"/>
    <xf numFmtId="166" fontId="6" fillId="0" borderId="0" xfId="0" applyNumberFormat="1" applyFont="1" applyFill="1" applyAlignment="1">
      <alignment vertical="center"/>
    </xf>
    <xf numFmtId="166" fontId="6" fillId="0" borderId="0" xfId="0" applyNumberFormat="1" applyFont="1" applyFill="1" applyAlignment="1">
      <alignment vertical="center"/>
    </xf>
    <xf numFmtId="0" fontId="27" fillId="0" borderId="0" xfId="0" applyFont="1" applyFill="1" applyAlignment="1">
      <alignment horizontal="center"/>
    </xf>
    <xf numFmtId="166" fontId="6" fillId="0" borderId="0" xfId="0" applyNumberFormat="1" applyFont="1" applyFill="1" applyBorder="1" applyAlignment="1">
      <alignment vertical="center"/>
    </xf>
    <xf numFmtId="165" fontId="27" fillId="0" borderId="0" xfId="0" applyNumberFormat="1" applyFont="1" applyFill="1" applyAlignment="1"/>
    <xf numFmtId="166" fontId="6" fillId="0" borderId="0" xfId="0" applyNumberFormat="1" applyFont="1" applyFill="1" applyAlignment="1">
      <alignment vertical="top"/>
    </xf>
    <xf numFmtId="0" fontId="6" fillId="2" borderId="0" xfId="0" applyFont="1" applyFill="1"/>
    <xf numFmtId="0" fontId="6" fillId="2" borderId="0" xfId="0" applyFont="1" applyFill="1" applyAlignment="1">
      <alignment vertical="top"/>
    </xf>
    <xf numFmtId="0" fontId="6" fillId="2" borderId="0" xfId="0" applyFont="1" applyFill="1" applyAlignment="1"/>
    <xf numFmtId="166" fontId="6" fillId="2" borderId="0" xfId="0" applyNumberFormat="1" applyFont="1" applyFill="1" applyBorder="1" applyAlignment="1"/>
    <xf numFmtId="0" fontId="27" fillId="0" borderId="0" xfId="0" applyFont="1" applyFill="1" applyAlignment="1">
      <alignment vertical="center"/>
    </xf>
    <xf numFmtId="0" fontId="6" fillId="0" borderId="0" xfId="0" applyFont="1" applyFill="1" applyAlignment="1">
      <alignment vertical="center"/>
    </xf>
    <xf numFmtId="166" fontId="6" fillId="0" borderId="0" xfId="0" applyNumberFormat="1" applyFont="1" applyFill="1" applyBorder="1" applyAlignment="1">
      <alignment vertical="top"/>
    </xf>
    <xf numFmtId="0" fontId="6" fillId="0" borderId="0" xfId="0" applyFont="1" applyFill="1" applyAlignment="1">
      <alignment horizontal="left" indent="1"/>
    </xf>
    <xf numFmtId="0" fontId="27" fillId="0" borderId="0" xfId="0" applyFont="1" applyFill="1"/>
    <xf numFmtId="166" fontId="27" fillId="0" borderId="0" xfId="0" applyNumberFormat="1" applyFont="1" applyFill="1"/>
    <xf numFmtId="166" fontId="6" fillId="0" borderId="0" xfId="0" applyNumberFormat="1" applyFont="1" applyFill="1"/>
    <xf numFmtId="2" fontId="6" fillId="0" borderId="0" xfId="0" applyNumberFormat="1" applyFont="1" applyFill="1" applyAlignment="1">
      <alignment vertical="top"/>
    </xf>
    <xf numFmtId="0" fontId="6" fillId="0" borderId="0" xfId="0" applyFont="1" applyFill="1" applyBorder="1"/>
    <xf numFmtId="166" fontId="6" fillId="0" borderId="0" xfId="0" applyNumberFormat="1" applyFont="1" applyFill="1" applyBorder="1"/>
    <xf numFmtId="43" fontId="6" fillId="0" borderId="0" xfId="1" applyFont="1" applyFill="1" applyAlignment="1">
      <alignment vertical="top"/>
    </xf>
    <xf numFmtId="0" fontId="6" fillId="0" borderId="0" xfId="0" applyFont="1" applyFill="1"/>
    <xf numFmtId="0" fontId="6" fillId="2" borderId="0" xfId="0" applyFont="1" applyFill="1" applyAlignment="1">
      <alignment horizontal="left"/>
    </xf>
    <xf numFmtId="166" fontId="6" fillId="2" borderId="0" xfId="0" applyNumberFormat="1" applyFont="1" applyFill="1" applyBorder="1"/>
    <xf numFmtId="0" fontId="6" fillId="0" borderId="0" xfId="0" applyFont="1" applyFill="1" applyBorder="1" applyAlignment="1">
      <alignment horizontal="center"/>
    </xf>
    <xf numFmtId="166" fontId="6" fillId="0" borderId="0" xfId="0" applyNumberFormat="1" applyFont="1" applyFill="1" applyBorder="1"/>
    <xf numFmtId="166" fontId="27" fillId="2" borderId="0" xfId="0" applyNumberFormat="1" applyFont="1" applyFill="1" applyAlignment="1">
      <alignment horizontal="center"/>
    </xf>
    <xf numFmtId="166" fontId="6" fillId="2" borderId="0" xfId="0" applyNumberFormat="1" applyFont="1" applyFill="1" applyAlignment="1">
      <alignment horizontal="center"/>
    </xf>
    <xf numFmtId="2" fontId="6" fillId="2" borderId="0" xfId="0" applyNumberFormat="1" applyFont="1" applyFill="1"/>
    <xf numFmtId="0" fontId="6" fillId="2" borderId="0" xfId="0" applyFont="1" applyFill="1" applyBorder="1"/>
    <xf numFmtId="0" fontId="27" fillId="2" borderId="0" xfId="0" applyFont="1" applyFill="1" applyBorder="1" applyAlignment="1">
      <alignment horizontal="center"/>
    </xf>
    <xf numFmtId="0" fontId="6" fillId="2" borderId="0" xfId="0" applyFont="1" applyFill="1" applyBorder="1" applyAlignment="1">
      <alignment horizontal="left" indent="1"/>
    </xf>
    <xf numFmtId="0" fontId="6" fillId="2" borderId="0" xfId="0" quotePrefix="1" applyFont="1" applyFill="1" applyAlignment="1">
      <alignment horizontal="left" indent="1"/>
    </xf>
    <xf numFmtId="166" fontId="27" fillId="2" borderId="0" xfId="0" applyNumberFormat="1" applyFont="1" applyFill="1" applyAlignment="1"/>
    <xf numFmtId="166" fontId="6" fillId="2" borderId="0" xfId="0" applyNumberFormat="1" applyFont="1" applyFill="1" applyAlignment="1"/>
    <xf numFmtId="166" fontId="6" fillId="2" borderId="0" xfId="0" applyNumberFormat="1" applyFont="1" applyFill="1" applyBorder="1" applyAlignment="1"/>
    <xf numFmtId="166" fontId="27" fillId="2" borderId="0" xfId="0" applyNumberFormat="1" applyFont="1" applyFill="1" applyBorder="1" applyAlignment="1"/>
    <xf numFmtId="0" fontId="6" fillId="2" borderId="0" xfId="0" applyFont="1" applyFill="1" applyAlignment="1">
      <alignment wrapText="1"/>
    </xf>
    <xf numFmtId="166" fontId="6" fillId="2" borderId="0" xfId="0" applyNumberFormat="1" applyFont="1" applyFill="1" applyBorder="1"/>
    <xf numFmtId="166" fontId="6" fillId="2" borderId="0" xfId="0" applyNumberFormat="1" applyFont="1" applyFill="1"/>
    <xf numFmtId="166" fontId="27" fillId="2" borderId="0" xfId="0" applyNumberFormat="1" applyFont="1" applyFill="1" applyBorder="1"/>
    <xf numFmtId="166" fontId="6" fillId="2" borderId="0" xfId="0" applyNumberFormat="1" applyFont="1" applyFill="1"/>
    <xf numFmtId="166" fontId="6" fillId="2" borderId="0" xfId="0" applyNumberFormat="1" applyFont="1" applyFill="1" applyBorder="1"/>
    <xf numFmtId="0" fontId="6" fillId="2" borderId="0" xfId="0" applyFont="1" applyFill="1" applyAlignment="1">
      <alignment horizontal="left" vertical="top" indent="1"/>
    </xf>
    <xf numFmtId="166" fontId="6" fillId="2" borderId="0" xfId="0" applyNumberFormat="1" applyFont="1" applyFill="1" applyBorder="1" applyAlignment="1">
      <alignment vertical="top"/>
    </xf>
    <xf numFmtId="166" fontId="6" fillId="2" borderId="0" xfId="0" applyNumberFormat="1" applyFont="1" applyFill="1"/>
    <xf numFmtId="166" fontId="27" fillId="0" borderId="0" xfId="0" applyNumberFormat="1" applyFont="1" applyFill="1"/>
    <xf numFmtId="166" fontId="27" fillId="2" borderId="0" xfId="0" applyNumberFormat="1" applyFont="1" applyFill="1"/>
    <xf numFmtId="166" fontId="27" fillId="0" borderId="0" xfId="0" applyNumberFormat="1" applyFont="1" applyFill="1" applyAlignment="1"/>
    <xf numFmtId="0" fontId="27" fillId="2" borderId="0" xfId="0" applyFont="1" applyFill="1" applyAlignment="1"/>
    <xf numFmtId="0" fontId="27" fillId="2" borderId="14" xfId="0" applyFont="1" applyFill="1" applyBorder="1" applyAlignment="1"/>
    <xf numFmtId="166" fontId="27" fillId="2" borderId="8" xfId="0" applyNumberFormat="1" applyFont="1" applyFill="1" applyBorder="1" applyAlignment="1"/>
    <xf numFmtId="0" fontId="6" fillId="2" borderId="14" xfId="0" applyFont="1" applyFill="1" applyBorder="1"/>
    <xf numFmtId="166" fontId="27" fillId="2" borderId="15" xfId="0" applyNumberFormat="1" applyFont="1" applyFill="1" applyBorder="1" applyAlignment="1"/>
    <xf numFmtId="166" fontId="6" fillId="2" borderId="8" xfId="0" applyNumberFormat="1" applyFont="1" applyFill="1" applyBorder="1"/>
    <xf numFmtId="166" fontId="6" fillId="2" borderId="14" xfId="0" applyNumberFormat="1" applyFont="1" applyFill="1" applyBorder="1"/>
    <xf numFmtId="166" fontId="6" fillId="2" borderId="15" xfId="0" applyNumberFormat="1" applyFont="1" applyFill="1" applyBorder="1"/>
    <xf numFmtId="16" fontId="27" fillId="0" borderId="0" xfId="0" applyNumberFormat="1" applyFont="1" applyFill="1" applyAlignment="1">
      <alignment vertical="center" wrapText="1"/>
    </xf>
    <xf numFmtId="16" fontId="27" fillId="0" borderId="0" xfId="0" quotePrefix="1" applyNumberFormat="1" applyFont="1" applyFill="1" applyAlignment="1">
      <alignment vertical="top"/>
    </xf>
    <xf numFmtId="16" fontId="6" fillId="0" borderId="0" xfId="0" applyNumberFormat="1" applyFont="1" applyFill="1" applyAlignment="1">
      <alignment vertical="center" wrapText="1"/>
    </xf>
    <xf numFmtId="16" fontId="27" fillId="2" borderId="16" xfId="0" applyNumberFormat="1" applyFont="1" applyFill="1" applyBorder="1" applyAlignment="1">
      <alignment vertical="center" wrapText="1"/>
    </xf>
    <xf numFmtId="166" fontId="27" fillId="2" borderId="0" xfId="0" applyNumberFormat="1" applyFont="1" applyFill="1" applyBorder="1" applyAlignment="1">
      <alignment horizontal="center" wrapText="1"/>
    </xf>
    <xf numFmtId="0" fontId="6" fillId="2" borderId="16" xfId="0" applyFont="1" applyFill="1" applyBorder="1"/>
    <xf numFmtId="0" fontId="6" fillId="2" borderId="17" xfId="0" applyFont="1" applyFill="1" applyBorder="1"/>
    <xf numFmtId="166" fontId="6" fillId="2" borderId="16" xfId="0" applyNumberFormat="1" applyFont="1" applyFill="1" applyBorder="1"/>
    <xf numFmtId="166" fontId="6" fillId="2" borderId="17" xfId="0" applyNumberFormat="1" applyFont="1" applyFill="1" applyBorder="1"/>
    <xf numFmtId="165" fontId="6" fillId="0" borderId="0" xfId="0" applyNumberFormat="1" applyFont="1" applyFill="1"/>
    <xf numFmtId="0" fontId="27" fillId="0" borderId="0" xfId="0" quotePrefix="1" applyNumberFormat="1" applyFont="1" applyFill="1" applyAlignment="1">
      <alignment horizontal="center" vertical="center"/>
    </xf>
    <xf numFmtId="15" fontId="27" fillId="0" borderId="0" xfId="0" quotePrefix="1" applyNumberFormat="1" applyFont="1" applyFill="1" applyAlignment="1">
      <alignment vertical="center"/>
    </xf>
    <xf numFmtId="0" fontId="6" fillId="0" borderId="0" xfId="0" quotePrefix="1" applyNumberFormat="1" applyFont="1" applyFill="1" applyAlignment="1">
      <alignment horizontal="center" vertical="center"/>
    </xf>
    <xf numFmtId="166" fontId="6" fillId="2" borderId="16" xfId="0" applyNumberFormat="1" applyFont="1" applyFill="1" applyBorder="1"/>
    <xf numFmtId="165" fontId="27" fillId="0" borderId="0" xfId="0" quotePrefix="1" applyNumberFormat="1" applyFont="1" applyFill="1" applyAlignment="1">
      <alignment horizontal="center" vertical="center" wrapText="1"/>
    </xf>
    <xf numFmtId="166" fontId="6" fillId="2" borderId="0" xfId="0" applyNumberFormat="1" applyFont="1" applyFill="1" applyBorder="1" applyAlignment="1">
      <alignment wrapText="1"/>
    </xf>
    <xf numFmtId="0" fontId="6" fillId="2" borderId="17" xfId="0" applyFont="1" applyFill="1" applyBorder="1" applyAlignment="1">
      <alignment wrapText="1"/>
    </xf>
    <xf numFmtId="0" fontId="27" fillId="0" borderId="0" xfId="0" quotePrefix="1" applyFont="1" applyFill="1"/>
    <xf numFmtId="166" fontId="6" fillId="2" borderId="17" xfId="0" applyNumberFormat="1" applyFont="1" applyFill="1" applyBorder="1"/>
    <xf numFmtId="37" fontId="6" fillId="0" borderId="0" xfId="0" applyNumberFormat="1" applyFont="1" applyFill="1"/>
    <xf numFmtId="0" fontId="6" fillId="2" borderId="16" xfId="0" applyNumberFormat="1" applyFont="1" applyFill="1" applyBorder="1" applyAlignment="1">
      <alignment horizontal="left" vertical="center"/>
    </xf>
    <xf numFmtId="0" fontId="6" fillId="2" borderId="18" xfId="0" applyFont="1" applyFill="1" applyBorder="1"/>
    <xf numFmtId="166" fontId="6" fillId="2" borderId="9" xfId="0" applyNumberFormat="1" applyFont="1" applyFill="1" applyBorder="1"/>
    <xf numFmtId="166" fontId="6" fillId="2" borderId="18" xfId="0" applyNumberFormat="1" applyFont="1" applyFill="1" applyBorder="1"/>
    <xf numFmtId="166" fontId="6" fillId="2" borderId="19" xfId="0" applyNumberFormat="1" applyFont="1" applyFill="1" applyBorder="1"/>
    <xf numFmtId="0" fontId="6" fillId="0" borderId="0" xfId="0" quotePrefix="1" applyFont="1" applyFill="1" applyAlignment="1">
      <alignment horizontal="left" indent="1"/>
    </xf>
    <xf numFmtId="166" fontId="6" fillId="2" borderId="18" xfId="0" applyNumberFormat="1" applyFont="1" applyFill="1" applyBorder="1"/>
    <xf numFmtId="166" fontId="27" fillId="2" borderId="19" xfId="0" applyNumberFormat="1" applyFont="1" applyFill="1" applyBorder="1"/>
    <xf numFmtId="0" fontId="6" fillId="0" borderId="0" xfId="0" quotePrefix="1" applyFont="1" applyFill="1" applyAlignment="1"/>
    <xf numFmtId="0" fontId="6" fillId="0" borderId="0" xfId="0" quotePrefix="1" applyFont="1" applyFill="1" applyAlignment="1">
      <alignment horizontal="left" indent="2"/>
    </xf>
    <xf numFmtId="0" fontId="6" fillId="0" borderId="0" xfId="0" applyFont="1" applyFill="1" applyAlignment="1">
      <alignment horizontal="left" indent="2"/>
    </xf>
    <xf numFmtId="166" fontId="27" fillId="0" borderId="8" xfId="0" applyNumberFormat="1" applyFont="1" applyFill="1" applyBorder="1"/>
    <xf numFmtId="166" fontId="6" fillId="0" borderId="8" xfId="0" applyNumberFormat="1" applyFont="1" applyFill="1" applyBorder="1"/>
    <xf numFmtId="166" fontId="27" fillId="2" borderId="17" xfId="0" applyNumberFormat="1" applyFont="1" applyFill="1" applyBorder="1"/>
    <xf numFmtId="166" fontId="27" fillId="0" borderId="2" xfId="0" applyNumberFormat="1" applyFont="1" applyFill="1" applyBorder="1"/>
    <xf numFmtId="166" fontId="6" fillId="0" borderId="2" xfId="0" applyNumberFormat="1" applyFont="1" applyFill="1" applyBorder="1"/>
    <xf numFmtId="166" fontId="27" fillId="0" borderId="3" xfId="0" applyNumberFormat="1" applyFont="1" applyFill="1" applyBorder="1"/>
    <xf numFmtId="166" fontId="6" fillId="0" borderId="3" xfId="0" applyNumberFormat="1" applyFont="1" applyFill="1" applyBorder="1"/>
    <xf numFmtId="166" fontId="6" fillId="2" borderId="9" xfId="0" applyNumberFormat="1" applyFont="1" applyFill="1" applyBorder="1"/>
    <xf numFmtId="166" fontId="6" fillId="2" borderId="19" xfId="0" applyNumberFormat="1" applyFont="1" applyFill="1" applyBorder="1"/>
    <xf numFmtId="166" fontId="6" fillId="0" borderId="0" xfId="0" applyNumberFormat="1" applyFont="1" applyFill="1" applyBorder="1"/>
    <xf numFmtId="166" fontId="27" fillId="0" borderId="0" xfId="0" applyNumberFormat="1" applyFont="1" applyFill="1" applyBorder="1"/>
    <xf numFmtId="0" fontId="6" fillId="2" borderId="14" xfId="0" applyNumberFormat="1" applyFont="1" applyFill="1" applyBorder="1" applyAlignment="1">
      <alignment horizontal="left" vertical="center"/>
    </xf>
    <xf numFmtId="166" fontId="6" fillId="2" borderId="14" xfId="0" applyNumberFormat="1" applyFont="1" applyFill="1" applyBorder="1"/>
    <xf numFmtId="166" fontId="6" fillId="2" borderId="15" xfId="0" applyNumberFormat="1" applyFont="1" applyFill="1" applyBorder="1"/>
    <xf numFmtId="37" fontId="6" fillId="0" borderId="0" xfId="0" applyNumberFormat="1" applyFont="1" applyFill="1" applyAlignment="1" applyProtection="1">
      <alignment horizontal="left" indent="1"/>
    </xf>
    <xf numFmtId="166" fontId="6" fillId="2" borderId="17" xfId="0" applyNumberFormat="1" applyFont="1" applyFill="1" applyBorder="1"/>
    <xf numFmtId="166" fontId="27" fillId="0" borderId="14" xfId="0" applyNumberFormat="1" applyFont="1" applyFill="1" applyBorder="1" applyAlignment="1">
      <alignment horizontal="center"/>
    </xf>
    <xf numFmtId="166" fontId="27" fillId="0" borderId="8" xfId="0" applyNumberFormat="1" applyFont="1" applyFill="1" applyBorder="1" applyAlignment="1">
      <alignment horizontal="center"/>
    </xf>
    <xf numFmtId="166" fontId="27" fillId="0" borderId="15" xfId="0" applyNumberFormat="1" applyFont="1" applyFill="1" applyBorder="1" applyAlignment="1">
      <alignment horizontal="center"/>
    </xf>
    <xf numFmtId="166" fontId="6" fillId="0" borderId="14" xfId="0" applyNumberFormat="1" applyFont="1" applyFill="1" applyBorder="1"/>
    <xf numFmtId="0" fontId="6" fillId="0" borderId="15" xfId="0" applyFont="1" applyFill="1" applyBorder="1"/>
    <xf numFmtId="0" fontId="6" fillId="0" borderId="14" xfId="0" applyFont="1" applyFill="1" applyBorder="1"/>
    <xf numFmtId="166" fontId="6" fillId="0" borderId="15" xfId="0" applyNumberFormat="1" applyFont="1" applyFill="1" applyBorder="1"/>
    <xf numFmtId="166" fontId="6" fillId="0" borderId="16" xfId="0" applyNumberFormat="1" applyFont="1" applyFill="1" applyBorder="1"/>
    <xf numFmtId="0" fontId="6" fillId="0" borderId="17" xfId="0" applyFont="1" applyFill="1" applyBorder="1"/>
    <xf numFmtId="0" fontId="6" fillId="0" borderId="16" xfId="0" applyFont="1" applyFill="1" applyBorder="1"/>
    <xf numFmtId="166" fontId="6" fillId="0" borderId="17" xfId="0" applyNumberFormat="1" applyFont="1" applyFill="1" applyBorder="1"/>
    <xf numFmtId="165" fontId="27" fillId="0" borderId="0" xfId="0" quotePrefix="1" applyNumberFormat="1" applyFont="1" applyFill="1" applyAlignment="1">
      <alignment horizontal="center"/>
    </xf>
    <xf numFmtId="166" fontId="6" fillId="0" borderId="17" xfId="0" applyNumberFormat="1" applyFont="1" applyFill="1" applyBorder="1"/>
    <xf numFmtId="166" fontId="6" fillId="2" borderId="0" xfId="0" quotePrefix="1" applyNumberFormat="1" applyFont="1" applyFill="1" applyBorder="1"/>
    <xf numFmtId="0" fontId="30" fillId="0" borderId="0" xfId="0" applyFont="1" applyFill="1" applyAlignment="1"/>
    <xf numFmtId="0" fontId="27" fillId="0" borderId="0" xfId="0" applyFont="1" applyFill="1" applyBorder="1" applyAlignment="1">
      <alignment horizontal="center"/>
    </xf>
    <xf numFmtId="0" fontId="27" fillId="0" borderId="0" xfId="0" applyFont="1" applyFill="1" applyAlignment="1">
      <alignment horizontal="centerContinuous"/>
    </xf>
    <xf numFmtId="165" fontId="30" fillId="0" borderId="0" xfId="0" applyNumberFormat="1" applyFont="1" applyFill="1" applyAlignment="1">
      <alignment horizontal="centerContinuous"/>
    </xf>
    <xf numFmtId="0" fontId="6" fillId="0" borderId="0" xfId="0" applyFont="1" applyFill="1" applyAlignment="1">
      <alignment horizontal="centerContinuous"/>
    </xf>
    <xf numFmtId="0" fontId="27" fillId="2" borderId="0" xfId="0" applyFont="1" applyFill="1" applyAlignment="1">
      <alignment horizontal="centerContinuous"/>
    </xf>
    <xf numFmtId="166" fontId="29" fillId="0" borderId="0" xfId="0" applyNumberFormat="1" applyFont="1" applyFill="1"/>
    <xf numFmtId="0" fontId="29" fillId="0" borderId="0" xfId="0" applyFont="1" applyFill="1"/>
    <xf numFmtId="166" fontId="28" fillId="0" borderId="0" xfId="0" applyNumberFormat="1" applyFont="1" applyFill="1"/>
    <xf numFmtId="3" fontId="6" fillId="0" borderId="0" xfId="0" applyNumberFormat="1" applyFont="1" applyFill="1" applyAlignment="1">
      <alignment horizontal="right" vertical="center" wrapText="1"/>
    </xf>
    <xf numFmtId="166" fontId="6" fillId="0" borderId="0" xfId="0" applyNumberFormat="1" applyFont="1" applyFill="1" applyAlignment="1">
      <alignment horizontal="center"/>
    </xf>
    <xf numFmtId="166" fontId="6" fillId="0" borderId="0" xfId="0" applyNumberFormat="1" applyFont="1" applyFill="1" applyAlignment="1">
      <alignment horizontal="center" vertical="top" wrapText="1"/>
    </xf>
    <xf numFmtId="0" fontId="27" fillId="2" borderId="0" xfId="0" applyFont="1" applyFill="1" applyAlignment="1"/>
    <xf numFmtId="43" fontId="27" fillId="2" borderId="0" xfId="0" applyNumberFormat="1" applyFont="1" applyFill="1" applyAlignment="1"/>
    <xf numFmtId="0" fontId="6" fillId="2" borderId="0" xfId="0" applyFont="1" applyFill="1"/>
    <xf numFmtId="43" fontId="27" fillId="2" borderId="0" xfId="0" applyNumberFormat="1" applyFont="1" applyFill="1" applyAlignment="1">
      <alignment horizontal="center"/>
    </xf>
    <xf numFmtId="43" fontId="28" fillId="2" borderId="0" xfId="1" applyFont="1" applyFill="1"/>
    <xf numFmtId="43" fontId="6" fillId="2" borderId="0" xfId="1" applyFont="1" applyFill="1"/>
    <xf numFmtId="0" fontId="27" fillId="2" borderId="0" xfId="0" applyFont="1" applyFill="1" applyBorder="1" applyAlignment="1"/>
    <xf numFmtId="0" fontId="6" fillId="2" borderId="0" xfId="0" applyFont="1" applyFill="1" applyBorder="1"/>
    <xf numFmtId="0" fontId="27" fillId="2" borderId="0" xfId="0" quotePrefix="1" applyNumberFormat="1" applyFont="1" applyFill="1" applyAlignment="1">
      <alignment horizontal="center" vertical="center"/>
    </xf>
    <xf numFmtId="15" fontId="27" fillId="2" borderId="0" xfId="0" quotePrefix="1" applyNumberFormat="1" applyFont="1" applyFill="1" applyAlignment="1">
      <alignment vertical="center"/>
    </xf>
    <xf numFmtId="0" fontId="6" fillId="2" borderId="0" xfId="0" quotePrefix="1" applyNumberFormat="1" applyFont="1" applyFill="1" applyAlignment="1">
      <alignment horizontal="center" vertical="center"/>
    </xf>
    <xf numFmtId="0" fontId="27" fillId="2" borderId="0" xfId="0" applyFont="1" applyFill="1" applyBorder="1"/>
    <xf numFmtId="166" fontId="27" fillId="2" borderId="0" xfId="0" applyNumberFormat="1" applyFont="1" applyFill="1" applyAlignment="1">
      <alignment wrapText="1"/>
    </xf>
    <xf numFmtId="43" fontId="6" fillId="2" borderId="0" xfId="0" applyNumberFormat="1" applyFont="1" applyFill="1" applyAlignment="1">
      <alignment horizontal="centerContinuous"/>
    </xf>
    <xf numFmtId="165" fontId="7" fillId="2" borderId="0" xfId="0" applyNumberFormat="1" applyFont="1" applyFill="1" applyBorder="1" applyAlignment="1" applyProtection="1"/>
    <xf numFmtId="2" fontId="7" fillId="2" borderId="0" xfId="0" applyNumberFormat="1" applyFont="1" applyFill="1" applyBorder="1" applyAlignment="1" applyProtection="1"/>
    <xf numFmtId="2" fontId="6" fillId="2" borderId="0" xfId="0" applyNumberFormat="1" applyFont="1" applyFill="1"/>
    <xf numFmtId="2" fontId="27" fillId="2" borderId="0" xfId="0" applyNumberFormat="1" applyFont="1" applyFill="1" applyBorder="1" applyAlignment="1">
      <alignment horizontal="center"/>
    </xf>
    <xf numFmtId="2" fontId="6" fillId="0" borderId="0" xfId="0" applyNumberFormat="1" applyFont="1" applyFill="1"/>
    <xf numFmtId="2" fontId="6" fillId="0" borderId="0" xfId="0" applyNumberFormat="1" applyFont="1" applyFill="1"/>
    <xf numFmtId="2" fontId="6" fillId="0" borderId="0" xfId="0" applyNumberFormat="1" applyFont="1" applyFill="1" applyBorder="1" applyAlignment="1">
      <alignment horizontal="center"/>
    </xf>
    <xf numFmtId="166" fontId="27" fillId="0" borderId="2" xfId="0" applyNumberFormat="1" applyFont="1" applyFill="1" applyBorder="1" applyAlignment="1"/>
    <xf numFmtId="166" fontId="6" fillId="0" borderId="2" xfId="0" applyNumberFormat="1" applyFont="1" applyFill="1" applyBorder="1" applyAlignment="1"/>
    <xf numFmtId="166" fontId="6" fillId="0" borderId="0" xfId="0" applyNumberFormat="1" applyFont="1" applyFill="1" applyBorder="1" applyAlignment="1"/>
    <xf numFmtId="166" fontId="27" fillId="0" borderId="3" xfId="0" applyNumberFormat="1" applyFont="1" applyFill="1" applyBorder="1" applyAlignment="1"/>
    <xf numFmtId="166" fontId="6" fillId="0" borderId="3" xfId="0" applyNumberFormat="1" applyFont="1" applyFill="1" applyBorder="1" applyAlignment="1"/>
    <xf numFmtId="43" fontId="28" fillId="0" borderId="0" xfId="1" applyFont="1" applyFill="1"/>
    <xf numFmtId="2" fontId="6" fillId="0" borderId="3" xfId="0" applyNumberFormat="1" applyFont="1" applyFill="1" applyBorder="1"/>
    <xf numFmtId="2" fontId="6" fillId="0" borderId="0" xfId="0" applyNumberFormat="1" applyFont="1" applyFill="1" applyBorder="1"/>
    <xf numFmtId="43" fontId="28" fillId="4" borderId="0" xfId="1" applyFont="1" applyFill="1"/>
    <xf numFmtId="2" fontId="6" fillId="2" borderId="0" xfId="0" applyNumberFormat="1" applyFont="1" applyFill="1" applyBorder="1"/>
    <xf numFmtId="2" fontId="6" fillId="2" borderId="0" xfId="0" applyNumberFormat="1" applyFont="1" applyFill="1" applyAlignment="1">
      <alignment horizontal="center"/>
    </xf>
    <xf numFmtId="2" fontId="6" fillId="2" borderId="0" xfId="0" applyNumberFormat="1" applyFont="1" applyFill="1" applyBorder="1" applyAlignment="1">
      <alignment horizontal="left"/>
    </xf>
    <xf numFmtId="166" fontId="25" fillId="2" borderId="0" xfId="0" applyNumberFormat="1" applyFont="1" applyFill="1" applyBorder="1" applyAlignment="1"/>
    <xf numFmtId="2" fontId="6" fillId="2" borderId="0" xfId="0" applyNumberFormat="1" applyFont="1" applyFill="1" applyBorder="1" applyAlignment="1">
      <alignment horizontal="left" indent="1"/>
    </xf>
    <xf numFmtId="2" fontId="27" fillId="2" borderId="0" xfId="0" applyNumberFormat="1" applyFont="1" applyFill="1"/>
    <xf numFmtId="166" fontId="25" fillId="2" borderId="0" xfId="0" applyNumberFormat="1" applyFont="1" applyFill="1"/>
    <xf numFmtId="2" fontId="6" fillId="2" borderId="0" xfId="0" applyNumberFormat="1" applyFont="1" applyFill="1" applyAlignment="1">
      <alignment horizontal="center"/>
    </xf>
    <xf numFmtId="0" fontId="6" fillId="0" borderId="0" xfId="0" quotePrefix="1" applyFont="1" applyFill="1" applyAlignment="1">
      <alignment horizontal="left"/>
    </xf>
    <xf numFmtId="2" fontId="6" fillId="2" borderId="0" xfId="0" applyNumberFormat="1" applyFont="1" applyFill="1"/>
    <xf numFmtId="166" fontId="6" fillId="2" borderId="0" xfId="0" applyNumberFormat="1" applyFont="1" applyFill="1" applyAlignment="1">
      <alignment horizontal="center"/>
    </xf>
    <xf numFmtId="166" fontId="27" fillId="2" borderId="2" xfId="0" applyNumberFormat="1" applyFont="1" applyFill="1" applyBorder="1" applyAlignment="1"/>
    <xf numFmtId="166" fontId="6" fillId="2" borderId="2" xfId="0" applyNumberFormat="1" applyFont="1" applyFill="1" applyBorder="1" applyAlignment="1"/>
    <xf numFmtId="0" fontId="6" fillId="2" borderId="0" xfId="0" applyNumberFormat="1" applyFont="1" applyFill="1" applyAlignment="1">
      <alignment horizontal="left"/>
    </xf>
    <xf numFmtId="166" fontId="27" fillId="2" borderId="3" xfId="0" applyNumberFormat="1" applyFont="1" applyFill="1" applyBorder="1" applyAlignment="1"/>
    <xf numFmtId="166" fontId="6" fillId="2" borderId="3" xfId="0" applyNumberFormat="1" applyFont="1" applyFill="1" applyBorder="1" applyAlignment="1"/>
    <xf numFmtId="0" fontId="6" fillId="2" borderId="0" xfId="0" applyNumberFormat="1" applyFont="1" applyFill="1" applyBorder="1"/>
    <xf numFmtId="0" fontId="6" fillId="2" borderId="0" xfId="0" applyNumberFormat="1" applyFont="1" applyFill="1" applyAlignment="1">
      <alignment horizontal="left" indent="1"/>
    </xf>
    <xf numFmtId="0" fontId="27" fillId="2" borderId="0" xfId="0" applyNumberFormat="1" applyFont="1" applyFill="1" applyAlignment="1">
      <alignment horizontal="center"/>
    </xf>
    <xf numFmtId="0" fontId="6" fillId="2" borderId="0" xfId="0" quotePrefix="1" applyNumberFormat="1" applyFont="1" applyFill="1"/>
    <xf numFmtId="0" fontId="6" fillId="2" borderId="0" xfId="0" applyNumberFormat="1" applyFont="1" applyFill="1" applyAlignment="1">
      <alignment horizontal="left" indent="2"/>
    </xf>
    <xf numFmtId="166" fontId="6" fillId="2" borderId="0" xfId="0" applyNumberFormat="1" applyFont="1" applyFill="1" applyBorder="1" applyAlignment="1">
      <alignment horizontal="center"/>
    </xf>
    <xf numFmtId="166" fontId="6" fillId="2" borderId="3" xfId="0" applyNumberFormat="1" applyFont="1" applyFill="1" applyBorder="1"/>
    <xf numFmtId="0" fontId="6" fillId="2" borderId="0" xfId="0" applyFont="1" applyFill="1" applyBorder="1" applyAlignment="1">
      <alignment horizontal="left"/>
    </xf>
    <xf numFmtId="0" fontId="6" fillId="0" borderId="0" xfId="0" applyFont="1" applyFill="1" applyBorder="1"/>
    <xf numFmtId="0" fontId="6" fillId="2" borderId="0" xfId="0" applyFont="1" applyFill="1" applyBorder="1" applyAlignment="1">
      <alignment horizontal="left"/>
    </xf>
    <xf numFmtId="0" fontId="6" fillId="2" borderId="0" xfId="0" applyFont="1" applyFill="1" applyBorder="1" applyAlignment="1">
      <alignment horizontal="left" indent="2"/>
    </xf>
    <xf numFmtId="0" fontId="6" fillId="2" borderId="0" xfId="0" quotePrefix="1" applyFont="1" applyFill="1" applyBorder="1"/>
    <xf numFmtId="166" fontId="27" fillId="2" borderId="0" xfId="0" quotePrefix="1" applyNumberFormat="1" applyFont="1" applyFill="1" applyBorder="1" applyAlignment="1">
      <alignment horizontal="center" vertical="center"/>
    </xf>
    <xf numFmtId="0" fontId="6" fillId="2" borderId="0" xfId="0" quotePrefix="1" applyFont="1" applyFill="1" applyBorder="1" applyAlignment="1">
      <alignment horizontal="left" indent="1"/>
    </xf>
    <xf numFmtId="0" fontId="27" fillId="2" borderId="0" xfId="0" quotePrefix="1" applyFont="1" applyFill="1" applyAlignment="1">
      <alignment horizontal="left"/>
    </xf>
    <xf numFmtId="0" fontId="6" fillId="2" borderId="0" xfId="0" quotePrefix="1" applyFont="1" applyFill="1" applyAlignment="1">
      <alignment horizontal="left" indent="3"/>
    </xf>
    <xf numFmtId="166" fontId="27" fillId="2" borderId="7" xfId="0" applyNumberFormat="1" applyFont="1" applyFill="1" applyBorder="1"/>
    <xf numFmtId="166" fontId="6" fillId="2" borderId="7" xfId="0" applyNumberFormat="1" applyFont="1" applyFill="1" applyBorder="1"/>
    <xf numFmtId="43" fontId="6" fillId="2" borderId="0" xfId="0" applyNumberFormat="1" applyFont="1" applyFill="1" applyBorder="1"/>
    <xf numFmtId="43" fontId="6" fillId="2" borderId="0" xfId="0" applyNumberFormat="1" applyFont="1" applyFill="1"/>
    <xf numFmtId="165" fontId="7" fillId="2" borderId="0" xfId="0" applyNumberFormat="1" applyFont="1" applyFill="1"/>
    <xf numFmtId="43" fontId="6" fillId="2" borderId="0" xfId="0" applyNumberFormat="1" applyFont="1" applyFill="1"/>
    <xf numFmtId="0" fontId="6" fillId="2" borderId="0" xfId="0" applyFont="1" applyFill="1" applyBorder="1" applyAlignment="1"/>
    <xf numFmtId="0" fontId="30" fillId="2" borderId="0" xfId="0" applyFont="1" applyFill="1" applyAlignment="1"/>
    <xf numFmtId="43" fontId="27" fillId="2" borderId="0" xfId="0" applyNumberFormat="1" applyFont="1" applyFill="1" applyAlignment="1"/>
    <xf numFmtId="43" fontId="27" fillId="2" borderId="0" xfId="0" quotePrefix="1" applyNumberFormat="1" applyFont="1" applyFill="1" applyAlignment="1">
      <alignment horizontal="center"/>
    </xf>
    <xf numFmtId="165" fontId="30" fillId="2" borderId="0" xfId="0" applyNumberFormat="1" applyFont="1" applyFill="1" applyAlignment="1">
      <alignment horizontal="centerContinuous"/>
    </xf>
    <xf numFmtId="43" fontId="27" fillId="2" borderId="0" xfId="0" applyNumberFormat="1" applyFont="1" applyFill="1" applyAlignment="1">
      <alignment horizontal="centerContinuous"/>
    </xf>
    <xf numFmtId="0" fontId="6" fillId="0" borderId="0" xfId="0" quotePrefix="1" applyFont="1" applyFill="1" applyAlignment="1">
      <alignment horizontal="left" indent="3"/>
    </xf>
    <xf numFmtId="43" fontId="6" fillId="0" borderId="0" xfId="0" quotePrefix="1" applyNumberFormat="1" applyFont="1" applyFill="1" applyAlignment="1">
      <alignment horizontal="left" indent="3"/>
    </xf>
    <xf numFmtId="0" fontId="6" fillId="0" borderId="0" xfId="0" applyFont="1" applyFill="1"/>
    <xf numFmtId="43" fontId="6" fillId="0" borderId="0" xfId="0" applyNumberFormat="1" applyFont="1" applyFill="1"/>
    <xf numFmtId="0" fontId="27" fillId="2" borderId="0" xfId="0" applyNumberFormat="1" applyFont="1" applyFill="1" applyAlignment="1"/>
    <xf numFmtId="0" fontId="27" fillId="2" borderId="0" xfId="0" applyFont="1" applyFill="1" applyAlignment="1"/>
    <xf numFmtId="0" fontId="6" fillId="2" borderId="0" xfId="0" applyFont="1" applyFill="1"/>
    <xf numFmtId="0" fontId="27" fillId="2" borderId="0" xfId="0" applyNumberFormat="1" applyFont="1" applyFill="1" applyAlignment="1">
      <alignment horizontal="left"/>
    </xf>
    <xf numFmtId="0" fontId="27" fillId="2" borderId="0" xfId="0" applyNumberFormat="1" applyFont="1" applyFill="1" applyAlignment="1"/>
    <xf numFmtId="165" fontId="30" fillId="2" borderId="0" xfId="0" quotePrefix="1" applyNumberFormat="1" applyFont="1" applyFill="1" applyAlignment="1">
      <alignment horizontal="center" vertical="center" wrapText="1"/>
    </xf>
    <xf numFmtId="15" fontId="27" fillId="2" borderId="0" xfId="0" applyNumberFormat="1" applyFont="1" applyFill="1" applyAlignment="1"/>
    <xf numFmtId="166" fontId="27" fillId="2" borderId="0" xfId="0" applyNumberFormat="1" applyFont="1" applyFill="1" applyAlignment="1">
      <alignment horizontal="center"/>
    </xf>
    <xf numFmtId="0" fontId="6" fillId="2" borderId="0" xfId="0" applyFont="1" applyFill="1" applyAlignment="1">
      <alignment horizontal="center"/>
    </xf>
    <xf numFmtId="0" fontId="6" fillId="2" borderId="0" xfId="0" quotePrefix="1" applyFont="1" applyFill="1" applyAlignment="1">
      <alignment horizontal="left" indent="1"/>
    </xf>
    <xf numFmtId="166" fontId="6" fillId="2" borderId="0" xfId="0" applyNumberFormat="1" applyFont="1" applyFill="1"/>
    <xf numFmtId="166" fontId="6" fillId="2" borderId="0" xfId="0" applyNumberFormat="1" applyFont="1" applyFill="1" applyAlignment="1">
      <alignment horizontal="right"/>
    </xf>
    <xf numFmtId="166" fontId="6" fillId="2" borderId="9" xfId="0" applyNumberFormat="1" applyFont="1" applyFill="1" applyBorder="1" applyAlignment="1">
      <alignment horizontal="right"/>
    </xf>
    <xf numFmtId="166" fontId="27" fillId="2" borderId="8" xfId="0" applyNumberFormat="1" applyFont="1" applyFill="1" applyBorder="1" applyAlignment="1">
      <alignment horizontal="center"/>
    </xf>
    <xf numFmtId="166" fontId="6" fillId="2" borderId="8" xfId="0" applyNumberFormat="1" applyFont="1" applyFill="1" applyBorder="1" applyAlignment="1">
      <alignment horizontal="center"/>
    </xf>
    <xf numFmtId="166" fontId="27" fillId="2" borderId="0" xfId="0" applyNumberFormat="1" applyFont="1" applyFill="1" applyBorder="1" applyAlignment="1">
      <alignment horizontal="center"/>
    </xf>
    <xf numFmtId="166" fontId="6" fillId="2" borderId="0" xfId="0" applyNumberFormat="1" applyFont="1" applyFill="1" applyBorder="1"/>
    <xf numFmtId="166" fontId="6" fillId="2" borderId="0" xfId="0" applyNumberFormat="1" applyFont="1" applyFill="1" applyBorder="1" applyAlignment="1">
      <alignment horizontal="center"/>
    </xf>
    <xf numFmtId="0" fontId="6" fillId="2" borderId="0" xfId="0" applyFont="1" applyFill="1" applyBorder="1" applyAlignment="1">
      <alignment horizontal="left"/>
    </xf>
    <xf numFmtId="0" fontId="6" fillId="2" borderId="0" xfId="0" applyFont="1" applyFill="1" applyBorder="1"/>
    <xf numFmtId="166" fontId="6" fillId="2" borderId="2" xfId="0" applyNumberFormat="1" applyFont="1" applyFill="1" applyBorder="1"/>
    <xf numFmtId="166" fontId="27" fillId="2" borderId="2" xfId="0" applyNumberFormat="1" applyFont="1" applyFill="1" applyBorder="1"/>
    <xf numFmtId="0" fontId="6" fillId="2" borderId="0" xfId="0" applyFont="1" applyFill="1" applyBorder="1" applyAlignment="1">
      <alignment horizontal="left" indent="1"/>
    </xf>
    <xf numFmtId="166" fontId="27" fillId="2" borderId="3" xfId="0" applyNumberFormat="1" applyFont="1" applyFill="1" applyBorder="1" applyAlignment="1">
      <alignment horizontal="right"/>
    </xf>
    <xf numFmtId="166" fontId="6" fillId="2" borderId="3" xfId="0" applyNumberFormat="1" applyFont="1" applyFill="1" applyBorder="1" applyAlignment="1">
      <alignment horizontal="right"/>
    </xf>
    <xf numFmtId="0" fontId="6" fillId="0" borderId="0" xfId="0" applyFont="1" applyFill="1" applyBorder="1"/>
    <xf numFmtId="166" fontId="6" fillId="0" borderId="0" xfId="0" applyNumberFormat="1" applyFont="1" applyFill="1" applyBorder="1"/>
    <xf numFmtId="166" fontId="6" fillId="0" borderId="4" xfId="0" applyNumberFormat="1" applyFont="1" applyFill="1" applyBorder="1"/>
    <xf numFmtId="0" fontId="6" fillId="2" borderId="0" xfId="0" applyFont="1" applyFill="1" applyAlignment="1">
      <alignment horizontal="left" indent="1"/>
    </xf>
    <xf numFmtId="166" fontId="27" fillId="2" borderId="0" xfId="0" applyNumberFormat="1" applyFont="1" applyFill="1" applyBorder="1" applyAlignment="1">
      <alignment horizontal="right"/>
    </xf>
    <xf numFmtId="166" fontId="6" fillId="2" borderId="0" xfId="0" applyNumberFormat="1" applyFont="1" applyFill="1" applyBorder="1" applyAlignment="1">
      <alignment horizontal="right"/>
    </xf>
    <xf numFmtId="166" fontId="27" fillId="2" borderId="0" xfId="0" applyNumberFormat="1" applyFont="1" applyFill="1" applyBorder="1"/>
    <xf numFmtId="166" fontId="6" fillId="2" borderId="0" xfId="0" applyNumberFormat="1" applyFont="1" applyFill="1" applyBorder="1"/>
    <xf numFmtId="166" fontId="27" fillId="2" borderId="2" xfId="0" applyNumberFormat="1" applyFont="1" applyFill="1" applyBorder="1" applyAlignment="1">
      <alignment horizontal="right"/>
    </xf>
    <xf numFmtId="166" fontId="6" fillId="2" borderId="2" xfId="0" applyNumberFormat="1" applyFont="1" applyFill="1" applyBorder="1"/>
    <xf numFmtId="0" fontId="6" fillId="0" borderId="0" xfId="0" applyFont="1" applyFill="1"/>
    <xf numFmtId="0" fontId="27" fillId="2" borderId="0" xfId="0" quotePrefix="1" applyFont="1" applyFill="1" applyAlignment="1">
      <alignment horizontal="center"/>
    </xf>
    <xf numFmtId="166" fontId="27" fillId="2" borderId="3" xfId="0" applyNumberFormat="1" applyFont="1" applyFill="1" applyBorder="1" applyAlignment="1">
      <alignment horizontal="right"/>
    </xf>
    <xf numFmtId="166" fontId="6" fillId="2" borderId="3" xfId="0" applyNumberFormat="1" applyFont="1" applyFill="1" applyBorder="1"/>
    <xf numFmtId="43" fontId="6" fillId="0" borderId="0" xfId="0" applyNumberFormat="1" applyFont="1" applyFill="1" applyBorder="1"/>
    <xf numFmtId="0" fontId="27" fillId="0" borderId="0" xfId="0" quotePrefix="1" applyFont="1" applyFill="1" applyAlignment="1">
      <alignment horizontal="center"/>
    </xf>
    <xf numFmtId="166" fontId="27" fillId="0" borderId="3" xfId="0" applyNumberFormat="1" applyFont="1" applyFill="1" applyBorder="1" applyAlignment="1">
      <alignment horizontal="right"/>
    </xf>
    <xf numFmtId="166" fontId="6" fillId="0" borderId="3" xfId="0" applyNumberFormat="1" applyFont="1" applyFill="1" applyBorder="1"/>
    <xf numFmtId="0" fontId="6" fillId="0" borderId="10" xfId="0" applyFont="1" applyFill="1" applyBorder="1" applyAlignment="1">
      <alignment horizontal="center"/>
    </xf>
    <xf numFmtId="0" fontId="6" fillId="0" borderId="10" xfId="0" applyFont="1" applyFill="1" applyBorder="1"/>
    <xf numFmtId="0" fontId="6" fillId="0" borderId="10" xfId="0" applyFont="1" applyFill="1" applyBorder="1"/>
    <xf numFmtId="166" fontId="6" fillId="0" borderId="10" xfId="0" applyNumberFormat="1" applyFont="1" applyFill="1" applyBorder="1"/>
    <xf numFmtId="166" fontId="6" fillId="0" borderId="10" xfId="0" applyNumberFormat="1" applyFont="1" applyFill="1" applyBorder="1"/>
    <xf numFmtId="0" fontId="6" fillId="0" borderId="0" xfId="0" applyFont="1" applyFill="1" applyAlignment="1">
      <alignment horizontal="left" wrapText="1"/>
    </xf>
    <xf numFmtId="166" fontId="27" fillId="0" borderId="4" xfId="0" applyNumberFormat="1" applyFont="1" applyFill="1" applyBorder="1" applyAlignment="1">
      <alignment horizontal="right"/>
    </xf>
    <xf numFmtId="0" fontId="6" fillId="2" borderId="0" xfId="0" applyFont="1" applyFill="1" applyAlignment="1">
      <alignment vertical="center"/>
    </xf>
    <xf numFmtId="0" fontId="6" fillId="2" borderId="0" xfId="0" applyFont="1" applyFill="1" applyAlignment="1">
      <alignment horizontal="left" indent="2"/>
    </xf>
    <xf numFmtId="0" fontId="6" fillId="2" borderId="0" xfId="0" applyFont="1" applyFill="1" applyAlignment="1"/>
    <xf numFmtId="0" fontId="27" fillId="2" borderId="0" xfId="0" applyFont="1" applyFill="1" applyAlignment="1">
      <alignment horizontal="left"/>
    </xf>
    <xf numFmtId="0" fontId="27" fillId="2" borderId="0" xfId="0" applyFont="1" applyFill="1"/>
    <xf numFmtId="166" fontId="27" fillId="2" borderId="0" xfId="0" applyNumberFormat="1" applyFont="1" applyFill="1"/>
    <xf numFmtId="43" fontId="6" fillId="0" borderId="0" xfId="0" applyNumberFormat="1" applyFont="1" applyFill="1"/>
    <xf numFmtId="0" fontId="6" fillId="0" borderId="0" xfId="0" quotePrefix="1" applyFont="1" applyFill="1" applyAlignment="1">
      <alignment horizontal="left" indent="1"/>
    </xf>
    <xf numFmtId="166" fontId="27" fillId="0" borderId="0" xfId="0" applyNumberFormat="1" applyFont="1" applyFill="1"/>
    <xf numFmtId="166" fontId="6" fillId="0" borderId="0" xfId="0" applyNumberFormat="1" applyFont="1" applyFill="1"/>
    <xf numFmtId="0" fontId="31" fillId="0" borderId="4" xfId="0" applyFont="1" applyFill="1" applyBorder="1" applyAlignment="1">
      <alignment horizontal="center"/>
    </xf>
    <xf numFmtId="166" fontId="31" fillId="0" borderId="10" xfId="0" applyNumberFormat="1" applyFont="1" applyFill="1" applyBorder="1"/>
    <xf numFmtId="166" fontId="29" fillId="0" borderId="0" xfId="0" applyNumberFormat="1" applyFont="1" applyFill="1"/>
    <xf numFmtId="0" fontId="27" fillId="0" borderId="0" xfId="0" applyFont="1" applyFill="1"/>
    <xf numFmtId="43" fontId="27" fillId="0" borderId="0" xfId="1" applyFont="1" applyFill="1"/>
    <xf numFmtId="166" fontId="6" fillId="0" borderId="0" xfId="1" applyNumberFormat="1" applyFont="1" applyFill="1"/>
    <xf numFmtId="0" fontId="27" fillId="2" borderId="0" xfId="0" applyFont="1" applyFill="1" applyAlignment="1">
      <alignment vertical="center"/>
    </xf>
    <xf numFmtId="166" fontId="6" fillId="2" borderId="0" xfId="1" applyNumberFormat="1" applyFont="1" applyFill="1" applyAlignment="1">
      <alignment vertical="center"/>
    </xf>
    <xf numFmtId="166" fontId="6" fillId="2" borderId="0" xfId="1" applyNumberFormat="1" applyFont="1" applyFill="1"/>
    <xf numFmtId="0" fontId="6" fillId="2" borderId="0" xfId="0" applyFont="1" applyFill="1" applyAlignment="1">
      <alignment horizontal="center"/>
    </xf>
    <xf numFmtId="0" fontId="6" fillId="0" borderId="0" xfId="0" applyFont="1" applyFill="1" applyBorder="1"/>
    <xf numFmtId="15" fontId="6" fillId="0" borderId="0" xfId="0" applyNumberFormat="1" applyFont="1" applyFill="1" applyBorder="1"/>
    <xf numFmtId="0" fontId="27" fillId="2" borderId="0" xfId="0" applyFont="1" applyFill="1" applyAlignment="1">
      <alignment horizontal="center" vertical="center"/>
    </xf>
    <xf numFmtId="0" fontId="27" fillId="2" borderId="0" xfId="0" applyNumberFormat="1" applyFont="1" applyFill="1" applyAlignment="1">
      <alignment vertical="top"/>
    </xf>
    <xf numFmtId="0" fontId="6" fillId="2" borderId="0" xfId="0" applyNumberFormat="1" applyFont="1" applyFill="1" applyAlignment="1">
      <alignment vertical="top"/>
    </xf>
    <xf numFmtId="166" fontId="6" fillId="2" borderId="0" xfId="1" applyNumberFormat="1" applyFont="1" applyFill="1" applyAlignment="1">
      <alignment vertical="top"/>
    </xf>
    <xf numFmtId="0" fontId="6" fillId="3" borderId="0" xfId="0" applyFont="1" applyFill="1"/>
    <xf numFmtId="166" fontId="27" fillId="2" borderId="0" xfId="0" applyNumberFormat="1" applyFont="1" applyFill="1" applyBorder="1"/>
    <xf numFmtId="166" fontId="27" fillId="0" borderId="0" xfId="0" applyNumberFormat="1" applyFont="1" applyFill="1" applyAlignment="1">
      <alignment horizontal="center"/>
    </xf>
    <xf numFmtId="166" fontId="27" fillId="0" borderId="4" xfId="0" applyNumberFormat="1" applyFont="1" applyFill="1" applyBorder="1" applyAlignment="1">
      <alignment vertical="top"/>
    </xf>
    <xf numFmtId="0" fontId="6" fillId="2" borderId="0" xfId="0" applyFont="1" applyFill="1" applyAlignment="1">
      <alignment vertical="center"/>
    </xf>
    <xf numFmtId="166" fontId="27" fillId="2" borderId="5" xfId="0" applyNumberFormat="1" applyFont="1" applyFill="1" applyBorder="1" applyAlignment="1">
      <alignment vertical="center"/>
    </xf>
    <xf numFmtId="166" fontId="6" fillId="2" borderId="0" xfId="0" applyNumberFormat="1" applyFont="1" applyFill="1" applyAlignment="1">
      <alignment vertical="center"/>
    </xf>
    <xf numFmtId="0" fontId="26" fillId="0" borderId="0" xfId="0" applyFont="1" applyFill="1" applyBorder="1" applyAlignment="1">
      <alignment vertical="top"/>
    </xf>
    <xf numFmtId="0" fontId="6" fillId="0" borderId="0" xfId="0" applyFont="1" applyFill="1" applyBorder="1" applyAlignment="1">
      <alignment vertical="top"/>
    </xf>
    <xf numFmtId="166" fontId="27" fillId="0" borderId="4" xfId="0" applyNumberFormat="1" applyFont="1" applyFill="1" applyBorder="1" applyAlignment="1">
      <alignment vertical="top"/>
    </xf>
    <xf numFmtId="166" fontId="6" fillId="0" borderId="0" xfId="0" applyNumberFormat="1" applyFont="1" applyFill="1" applyBorder="1" applyAlignment="1">
      <alignment vertical="top"/>
    </xf>
    <xf numFmtId="166" fontId="6" fillId="0" borderId="4" xfId="0" applyNumberFormat="1" applyFont="1" applyFill="1" applyBorder="1" applyAlignment="1">
      <alignment vertical="top"/>
    </xf>
    <xf numFmtId="166" fontId="27" fillId="2" borderId="0" xfId="0" applyNumberFormat="1" applyFont="1" applyFill="1" applyBorder="1" applyAlignment="1">
      <alignment vertical="center"/>
    </xf>
    <xf numFmtId="166" fontId="6" fillId="2" borderId="0" xfId="0" applyNumberFormat="1" applyFont="1" applyFill="1" applyBorder="1" applyAlignment="1">
      <alignment vertical="center"/>
    </xf>
    <xf numFmtId="166" fontId="6" fillId="2" borderId="0" xfId="0" applyNumberFormat="1" applyFont="1" applyFill="1" applyBorder="1" applyAlignment="1">
      <alignment vertical="center"/>
    </xf>
    <xf numFmtId="43" fontId="6" fillId="0" borderId="0" xfId="0" applyNumberFormat="1" applyFont="1" applyFill="1" applyBorder="1" applyAlignment="1">
      <alignment vertical="center"/>
    </xf>
    <xf numFmtId="0" fontId="6" fillId="0" borderId="0" xfId="0" applyFont="1" applyFill="1" applyAlignment="1">
      <alignment vertical="center"/>
    </xf>
    <xf numFmtId="0" fontId="27" fillId="2" borderId="0" xfId="0" applyFont="1" applyFill="1" applyAlignment="1">
      <alignment horizontal="left" vertical="center"/>
    </xf>
    <xf numFmtId="166" fontId="27" fillId="2" borderId="5" xfId="0" applyNumberFormat="1" applyFont="1" applyFill="1" applyBorder="1" applyAlignment="1">
      <alignment vertical="center"/>
    </xf>
    <xf numFmtId="166" fontId="6" fillId="2" borderId="0" xfId="0" applyNumberFormat="1" applyFont="1" applyFill="1" applyAlignment="1">
      <alignment vertical="center"/>
    </xf>
    <xf numFmtId="166" fontId="6" fillId="2" borderId="5" xfId="0" applyNumberFormat="1" applyFont="1" applyFill="1" applyBorder="1" applyAlignment="1">
      <alignment vertical="center"/>
    </xf>
    <xf numFmtId="0" fontId="6" fillId="0" borderId="0" xfId="0" applyFont="1" applyFill="1" applyAlignment="1">
      <alignment vertical="center"/>
    </xf>
    <xf numFmtId="43" fontId="6" fillId="0" borderId="0" xfId="0" applyNumberFormat="1" applyFont="1" applyFill="1" applyAlignment="1">
      <alignment vertical="center"/>
    </xf>
    <xf numFmtId="166" fontId="29" fillId="0" borderId="0" xfId="0" applyNumberFormat="1" applyFont="1" applyFill="1" applyAlignment="1">
      <alignment vertical="center"/>
    </xf>
    <xf numFmtId="41" fontId="6" fillId="0" borderId="0" xfId="0" applyNumberFormat="1" applyFont="1" applyFill="1" applyAlignment="1">
      <alignment vertical="center"/>
    </xf>
    <xf numFmtId="166" fontId="6" fillId="0" borderId="0" xfId="0" applyNumberFormat="1" applyFont="1" applyFill="1" applyAlignment="1">
      <alignment vertical="center"/>
    </xf>
    <xf numFmtId="166" fontId="31" fillId="0" borderId="0" xfId="0" applyNumberFormat="1" applyFont="1" applyFill="1" applyBorder="1"/>
    <xf numFmtId="166" fontId="31" fillId="0" borderId="0" xfId="0" applyNumberFormat="1" applyFont="1" applyFill="1" applyBorder="1" applyAlignment="1">
      <alignment horizontal="center"/>
    </xf>
    <xf numFmtId="166" fontId="6" fillId="2" borderId="0" xfId="0" applyNumberFormat="1" applyFont="1" applyFill="1" applyBorder="1" applyAlignment="1">
      <alignment horizontal="right"/>
    </xf>
    <xf numFmtId="2" fontId="6" fillId="0" borderId="0" xfId="0" applyNumberFormat="1" applyFont="1" applyFill="1" applyAlignment="1">
      <alignment vertical="top"/>
    </xf>
    <xf numFmtId="2" fontId="6" fillId="0" borderId="0" xfId="0" applyNumberFormat="1" applyFont="1" applyFill="1" applyAlignment="1">
      <alignment horizontal="center" vertical="top"/>
    </xf>
    <xf numFmtId="166" fontId="6" fillId="0" borderId="4" xfId="0" applyNumberFormat="1" applyFont="1" applyFill="1" applyBorder="1" applyAlignment="1">
      <alignment vertical="top"/>
    </xf>
    <xf numFmtId="43" fontId="28" fillId="0" borderId="0" xfId="1" applyFont="1" applyFill="1" applyAlignment="1">
      <alignment vertical="top"/>
    </xf>
    <xf numFmtId="166" fontId="27" fillId="2" borderId="4" xfId="0" applyNumberFormat="1" applyFont="1" applyFill="1" applyBorder="1" applyAlignment="1">
      <alignment vertical="top"/>
    </xf>
    <xf numFmtId="166" fontId="6" fillId="2" borderId="0" xfId="0" applyNumberFormat="1" applyFont="1" applyFill="1" applyAlignment="1">
      <alignment vertical="top"/>
    </xf>
    <xf numFmtId="166" fontId="6" fillId="2" borderId="4" xfId="0" applyNumberFormat="1" applyFont="1" applyFill="1" applyBorder="1" applyAlignment="1">
      <alignment vertical="top"/>
    </xf>
    <xf numFmtId="0" fontId="6" fillId="2" borderId="0" xfId="0" applyFont="1" applyFill="1" applyBorder="1" applyAlignment="1">
      <alignment horizontal="left" vertical="top" indent="2"/>
    </xf>
    <xf numFmtId="166" fontId="6" fillId="2" borderId="0" xfId="0" applyNumberFormat="1" applyFont="1" applyFill="1" applyBorder="1" applyAlignment="1">
      <alignment vertical="top"/>
    </xf>
    <xf numFmtId="0" fontId="27" fillId="2" borderId="0" xfId="0" quotePrefix="1" applyFont="1" applyFill="1" applyAlignment="1">
      <alignment horizontal="left" vertical="center"/>
    </xf>
    <xf numFmtId="0" fontId="6" fillId="2" borderId="0" xfId="0" applyFont="1" applyFill="1" applyAlignment="1">
      <alignment vertical="center"/>
    </xf>
    <xf numFmtId="166" fontId="27" fillId="2" borderId="0" xfId="0" applyNumberFormat="1" applyFont="1" applyFill="1" applyBorder="1" applyAlignment="1">
      <alignment vertical="center"/>
    </xf>
    <xf numFmtId="166" fontId="29" fillId="2" borderId="5" xfId="0" applyNumberFormat="1" applyFont="1" applyFill="1" applyBorder="1" applyAlignment="1">
      <alignment vertical="center"/>
    </xf>
    <xf numFmtId="1" fontId="27" fillId="0" borderId="0" xfId="0" applyNumberFormat="1" applyFont="1" applyFill="1" applyAlignment="1">
      <alignment horizontal="center" vertical="center"/>
    </xf>
    <xf numFmtId="166" fontId="27" fillId="0" borderId="5" xfId="0" applyNumberFormat="1" applyFont="1" applyFill="1" applyBorder="1" applyAlignment="1">
      <alignment vertical="center"/>
    </xf>
    <xf numFmtId="166" fontId="6" fillId="0" borderId="0" xfId="0" applyNumberFormat="1" applyFont="1" applyFill="1" applyAlignment="1">
      <alignment vertical="center"/>
    </xf>
    <xf numFmtId="166" fontId="6" fillId="0" borderId="5" xfId="0" applyNumberFormat="1" applyFont="1" applyFill="1" applyBorder="1" applyAlignment="1">
      <alignment vertical="center"/>
    </xf>
    <xf numFmtId="166" fontId="6" fillId="0" borderId="18" xfId="0" applyNumberFormat="1" applyFont="1" applyFill="1" applyBorder="1" applyAlignment="1">
      <alignment vertical="center"/>
    </xf>
    <xf numFmtId="166" fontId="6" fillId="0" borderId="19" xfId="0" applyNumberFormat="1" applyFont="1" applyFill="1" applyBorder="1" applyAlignment="1">
      <alignment vertical="center"/>
    </xf>
    <xf numFmtId="0" fontId="6" fillId="0" borderId="18" xfId="0" applyFont="1" applyFill="1" applyBorder="1" applyAlignment="1">
      <alignment vertical="center"/>
    </xf>
    <xf numFmtId="166" fontId="6" fillId="0" borderId="19" xfId="0" applyNumberFormat="1" applyFont="1" applyFill="1" applyBorder="1" applyAlignment="1">
      <alignment vertical="center"/>
    </xf>
    <xf numFmtId="165" fontId="27" fillId="0" borderId="0" xfId="0" applyNumberFormat="1" applyFont="1" applyFill="1" applyAlignment="1">
      <alignment horizontal="center" vertical="center"/>
    </xf>
    <xf numFmtId="166" fontId="27" fillId="0" borderId="8" xfId="0" applyNumberFormat="1" applyFont="1" applyFill="1" applyBorder="1" applyAlignment="1">
      <alignment vertical="center"/>
    </xf>
    <xf numFmtId="166" fontId="6" fillId="0" borderId="8" xfId="0" applyNumberFormat="1" applyFont="1" applyFill="1" applyBorder="1" applyAlignment="1">
      <alignment vertical="center"/>
    </xf>
    <xf numFmtId="166" fontId="6" fillId="0" borderId="16" xfId="0" applyNumberFormat="1" applyFont="1" applyFill="1" applyBorder="1" applyAlignment="1">
      <alignment vertical="center"/>
    </xf>
    <xf numFmtId="0" fontId="6" fillId="0" borderId="17" xfId="0" applyFont="1" applyFill="1" applyBorder="1" applyAlignment="1">
      <alignment vertical="center"/>
    </xf>
    <xf numFmtId="166" fontId="6" fillId="0" borderId="17" xfId="0" applyNumberFormat="1" applyFont="1" applyFill="1" applyBorder="1" applyAlignment="1">
      <alignment vertical="center"/>
    </xf>
    <xf numFmtId="165" fontId="6" fillId="0" borderId="0" xfId="0" applyNumberFormat="1" applyFont="1" applyFill="1" applyAlignment="1">
      <alignment vertical="center"/>
    </xf>
    <xf numFmtId="166" fontId="27" fillId="0" borderId="0" xfId="0" applyNumberFormat="1" applyFont="1" applyFill="1" applyBorder="1" applyAlignment="1">
      <alignment vertical="center"/>
    </xf>
    <xf numFmtId="166" fontId="6" fillId="2" borderId="0" xfId="0" applyNumberFormat="1" applyFont="1" applyFill="1" applyBorder="1" applyAlignment="1">
      <alignment vertical="center"/>
    </xf>
    <xf numFmtId="166" fontId="6" fillId="2" borderId="0" xfId="0" applyNumberFormat="1" applyFont="1" applyFill="1" applyBorder="1" applyAlignment="1">
      <alignment vertical="center"/>
    </xf>
    <xf numFmtId="166" fontId="27" fillId="0" borderId="12" xfId="0" applyNumberFormat="1" applyFont="1" applyFill="1" applyBorder="1" applyAlignment="1">
      <alignment vertical="center"/>
    </xf>
    <xf numFmtId="166" fontId="6" fillId="0" borderId="12" xfId="0" applyNumberFormat="1" applyFont="1" applyFill="1" applyBorder="1" applyAlignment="1">
      <alignment vertical="center"/>
    </xf>
    <xf numFmtId="166" fontId="6" fillId="2" borderId="0" xfId="0" applyNumberFormat="1" applyFont="1" applyFill="1" applyAlignment="1">
      <alignment vertical="center"/>
    </xf>
    <xf numFmtId="165" fontId="6" fillId="0" borderId="0" xfId="0" applyNumberFormat="1" applyFont="1" applyFill="1" applyAlignment="1">
      <alignment vertical="top"/>
    </xf>
    <xf numFmtId="166" fontId="27" fillId="0" borderId="4" xfId="0" applyNumberFormat="1" applyFont="1" applyFill="1" applyBorder="1" applyAlignment="1">
      <alignment vertical="top"/>
    </xf>
    <xf numFmtId="166" fontId="6" fillId="0" borderId="0" xfId="0" applyNumberFormat="1" applyFont="1" applyFill="1" applyAlignment="1">
      <alignment vertical="top"/>
    </xf>
    <xf numFmtId="166" fontId="6" fillId="0" borderId="4" xfId="0" applyNumberFormat="1" applyFont="1" applyFill="1" applyBorder="1" applyAlignment="1">
      <alignment vertical="top"/>
    </xf>
    <xf numFmtId="166" fontId="6" fillId="2" borderId="18" xfId="0" applyNumberFormat="1" applyFont="1" applyFill="1" applyBorder="1" applyAlignment="1">
      <alignment vertical="top"/>
    </xf>
    <xf numFmtId="166" fontId="6" fillId="2" borderId="19" xfId="0" applyNumberFormat="1" applyFont="1" applyFill="1" applyBorder="1" applyAlignment="1">
      <alignment vertical="top"/>
    </xf>
    <xf numFmtId="166" fontId="6" fillId="2" borderId="18" xfId="0" applyNumberFormat="1" applyFont="1" applyFill="1" applyBorder="1" applyAlignment="1">
      <alignment vertical="top"/>
    </xf>
    <xf numFmtId="166" fontId="6" fillId="2" borderId="19" xfId="0" applyNumberFormat="1" applyFont="1" applyFill="1" applyBorder="1" applyAlignment="1">
      <alignment vertical="top"/>
    </xf>
    <xf numFmtId="0" fontId="29" fillId="0" borderId="0" xfId="0" applyFont="1" applyFill="1" applyAlignment="1">
      <alignment vertical="top"/>
    </xf>
    <xf numFmtId="0" fontId="6" fillId="0" borderId="0" xfId="0" applyFont="1" applyFill="1" applyAlignment="1">
      <alignment horizontal="left" vertical="top" indent="1"/>
    </xf>
    <xf numFmtId="0" fontId="27" fillId="2" borderId="0" xfId="0" quotePrefix="1" applyFont="1" applyFill="1" applyBorder="1" applyAlignment="1">
      <alignment horizontal="center"/>
    </xf>
    <xf numFmtId="0" fontId="6" fillId="2" borderId="0" xfId="0" applyFont="1" applyFill="1" applyAlignment="1"/>
    <xf numFmtId="166" fontId="27" fillId="2" borderId="0" xfId="0" applyNumberFormat="1" applyFont="1" applyFill="1" applyAlignment="1">
      <alignment horizontal="center"/>
    </xf>
    <xf numFmtId="0" fontId="27" fillId="2" borderId="0" xfId="0" applyNumberFormat="1" applyFont="1" applyFill="1" applyAlignment="1">
      <alignment horizontal="center" vertical="top"/>
    </xf>
    <xf numFmtId="0" fontId="27" fillId="2" borderId="0" xfId="0" applyFont="1" applyFill="1" applyAlignment="1">
      <alignment horizontal="center"/>
    </xf>
    <xf numFmtId="0" fontId="6" fillId="2" borderId="0" xfId="0" applyFont="1" applyFill="1" applyAlignment="1">
      <alignment horizontal="left" wrapText="1"/>
    </xf>
    <xf numFmtId="0" fontId="27" fillId="2" borderId="0" xfId="0" applyNumberFormat="1" applyFont="1" applyFill="1" applyAlignment="1">
      <alignment horizontal="center"/>
    </xf>
    <xf numFmtId="0" fontId="27" fillId="2" borderId="0" xfId="0" quotePrefix="1" applyFont="1" applyFill="1" applyAlignment="1">
      <alignment horizontal="center"/>
    </xf>
    <xf numFmtId="166" fontId="27" fillId="2" borderId="0" xfId="0" applyNumberFormat="1" applyFont="1" applyFill="1" applyAlignment="1">
      <alignment horizontal="center" wrapText="1"/>
    </xf>
    <xf numFmtId="2" fontId="6" fillId="0" borderId="0" xfId="0" quotePrefix="1" applyNumberFormat="1" applyFont="1" applyFill="1" applyAlignment="1">
      <alignment vertical="top" wrapText="1"/>
    </xf>
    <xf numFmtId="0" fontId="27" fillId="2" borderId="0" xfId="0" quotePrefix="1" applyFont="1" applyFill="1"/>
    <xf numFmtId="167" fontId="27" fillId="2" borderId="7" xfId="0" applyNumberFormat="1" applyFont="1" applyFill="1" applyBorder="1"/>
    <xf numFmtId="167" fontId="6" fillId="2" borderId="0" xfId="0" applyNumberFormat="1" applyFont="1" applyFill="1"/>
    <xf numFmtId="0" fontId="6" fillId="2" borderId="0" xfId="0" applyFont="1" applyFill="1"/>
    <xf numFmtId="176" fontId="4" fillId="0" borderId="0" xfId="0" applyNumberFormat="1" applyFont="1" applyFill="1"/>
    <xf numFmtId="49" fontId="3" fillId="0" borderId="9" xfId="0" quotePrefix="1" applyNumberFormat="1" applyFont="1" applyFill="1" applyBorder="1" applyAlignment="1">
      <alignment horizontal="center"/>
    </xf>
    <xf numFmtId="37" fontId="4" fillId="0" borderId="33" xfId="0" applyNumberFormat="1" applyFont="1" applyFill="1" applyBorder="1" applyAlignment="1">
      <alignment horizontal="right"/>
    </xf>
    <xf numFmtId="2" fontId="6" fillId="2" borderId="36" xfId="0" applyNumberFormat="1" applyFont="1" applyFill="1" applyBorder="1"/>
    <xf numFmtId="2" fontId="6" fillId="2" borderId="17" xfId="0" applyNumberFormat="1" applyFont="1" applyFill="1" applyBorder="1"/>
    <xf numFmtId="2" fontId="6" fillId="2" borderId="37" xfId="0" applyNumberFormat="1" applyFont="1" applyFill="1" applyBorder="1"/>
    <xf numFmtId="166" fontId="27" fillId="2" borderId="38" xfId="1" applyNumberFormat="1" applyFont="1" applyFill="1" applyBorder="1"/>
    <xf numFmtId="166" fontId="27" fillId="2" borderId="39" xfId="1" applyNumberFormat="1" applyFont="1" applyFill="1" applyBorder="1"/>
    <xf numFmtId="166" fontId="27" fillId="2" borderId="40" xfId="1" applyNumberFormat="1" applyFont="1" applyFill="1" applyBorder="1"/>
    <xf numFmtId="0" fontId="6" fillId="2" borderId="41" xfId="0" applyFont="1" applyFill="1" applyBorder="1"/>
    <xf numFmtId="0" fontId="6" fillId="2" borderId="33" xfId="0" applyFont="1" applyFill="1" applyBorder="1"/>
    <xf numFmtId="0" fontId="6" fillId="2" borderId="42" xfId="0" applyFont="1" applyFill="1" applyBorder="1"/>
    <xf numFmtId="2" fontId="6" fillId="2" borderId="45" xfId="0" applyNumberFormat="1" applyFont="1" applyFill="1" applyBorder="1"/>
    <xf numFmtId="2" fontId="6" fillId="2" borderId="46" xfId="0" applyNumberFormat="1" applyFont="1" applyFill="1" applyBorder="1"/>
    <xf numFmtId="2" fontId="6" fillId="2" borderId="47" xfId="0" applyNumberFormat="1" applyFont="1" applyFill="1" applyBorder="1"/>
    <xf numFmtId="0" fontId="6" fillId="2" borderId="46" xfId="0" applyFont="1" applyFill="1" applyBorder="1"/>
    <xf numFmtId="2" fontId="6" fillId="2" borderId="48" xfId="0" applyNumberFormat="1" applyFont="1" applyFill="1" applyBorder="1"/>
    <xf numFmtId="2" fontId="6" fillId="2" borderId="20" xfId="0" applyNumberFormat="1" applyFont="1" applyFill="1" applyBorder="1"/>
    <xf numFmtId="0" fontId="6" fillId="2" borderId="20" xfId="0" applyFont="1" applyFill="1" applyBorder="1"/>
    <xf numFmtId="0" fontId="6" fillId="2" borderId="49" xfId="0" applyFont="1" applyFill="1" applyBorder="1"/>
    <xf numFmtId="166" fontId="6" fillId="2" borderId="36" xfId="1" applyNumberFormat="1" applyFont="1" applyFill="1" applyBorder="1"/>
    <xf numFmtId="166" fontId="6" fillId="2" borderId="17" xfId="1" applyNumberFormat="1" applyFont="1" applyFill="1" applyBorder="1"/>
    <xf numFmtId="166" fontId="6" fillId="0" borderId="37" xfId="1" applyNumberFormat="1" applyFont="1" applyFill="1" applyBorder="1"/>
    <xf numFmtId="176" fontId="4" fillId="0" borderId="0" xfId="0" applyNumberFormat="1" applyFont="1" applyFill="1" applyBorder="1" applyAlignment="1">
      <alignment horizontal="left" wrapText="1"/>
    </xf>
    <xf numFmtId="164" fontId="4" fillId="0" borderId="0" xfId="0" applyNumberFormat="1" applyFont="1" applyFill="1" applyBorder="1" applyAlignment="1">
      <alignment horizontal="left" wrapText="1"/>
    </xf>
    <xf numFmtId="176" fontId="3" fillId="0" borderId="0" xfId="0" applyNumberFormat="1" applyFont="1" applyFill="1" applyAlignment="1">
      <alignment horizontal="left"/>
    </xf>
    <xf numFmtId="164" fontId="3" fillId="0" borderId="0" xfId="0" applyNumberFormat="1" applyFont="1" applyFill="1" applyAlignment="1">
      <alignment horizontal="left"/>
    </xf>
    <xf numFmtId="0" fontId="4" fillId="7" borderId="0" xfId="0" applyFont="1" applyFill="1"/>
    <xf numFmtId="0" fontId="13" fillId="0" borderId="0" xfId="0" applyFont="1"/>
    <xf numFmtId="186" fontId="36" fillId="0" borderId="0" xfId="0" applyNumberFormat="1" applyFont="1" applyBorder="1"/>
    <xf numFmtId="0" fontId="36" fillId="0" borderId="0" xfId="0" applyFont="1"/>
    <xf numFmtId="186" fontId="36" fillId="0" borderId="0" xfId="0" applyNumberFormat="1" applyFont="1" applyAlignment="1">
      <alignment horizontal="left"/>
    </xf>
    <xf numFmtId="186" fontId="36" fillId="0" borderId="0" xfId="0" applyNumberFormat="1" applyFont="1"/>
    <xf numFmtId="186" fontId="36" fillId="0" borderId="0" xfId="0" applyNumberFormat="1" applyFont="1" applyAlignment="1">
      <alignment horizontal="center"/>
    </xf>
    <xf numFmtId="15" fontId="36" fillId="0" borderId="0" xfId="0" applyNumberFormat="1" applyFont="1" applyAlignment="1">
      <alignment horizontal="center"/>
    </xf>
    <xf numFmtId="187" fontId="36" fillId="0" borderId="0" xfId="0" applyNumberFormat="1" applyFont="1" applyAlignment="1">
      <alignment horizontal="center"/>
    </xf>
    <xf numFmtId="0" fontId="36" fillId="0" borderId="0" xfId="0" applyFont="1" applyFill="1"/>
    <xf numFmtId="0" fontId="36" fillId="0" borderId="0" xfId="0" applyFont="1" applyAlignment="1">
      <alignment horizontal="center"/>
    </xf>
    <xf numFmtId="0" fontId="36" fillId="0" borderId="0" xfId="0" applyFont="1" applyFill="1"/>
    <xf numFmtId="0" fontId="36" fillId="2" borderId="0" xfId="0" applyFont="1" applyFill="1"/>
    <xf numFmtId="49" fontId="37" fillId="0" borderId="35" xfId="0" applyNumberFormat="1" applyFont="1" applyBorder="1" applyAlignment="1">
      <alignment horizontal="left" vertical="top"/>
    </xf>
    <xf numFmtId="49" fontId="38" fillId="0" borderId="35" xfId="0" applyNumberFormat="1" applyFont="1" applyBorder="1" applyAlignment="1">
      <alignment horizontal="left" vertical="top"/>
    </xf>
    <xf numFmtId="49" fontId="38" fillId="0" borderId="35" xfId="0" applyNumberFormat="1" applyFont="1" applyBorder="1" applyAlignment="1">
      <alignment horizontal="right" vertical="top"/>
    </xf>
    <xf numFmtId="0" fontId="36" fillId="0" borderId="0" xfId="0" applyFont="1" applyFill="1" applyBorder="1" applyAlignment="1"/>
    <xf numFmtId="0" fontId="36" fillId="0" borderId="0" xfId="0" applyFont="1" applyFill="1" applyBorder="1"/>
    <xf numFmtId="186" fontId="36" fillId="0" borderId="0" xfId="0" applyNumberFormat="1" applyFont="1" applyFill="1" applyBorder="1"/>
    <xf numFmtId="49" fontId="35" fillId="0" borderId="0" xfId="0" applyNumberFormat="1" applyFont="1" applyBorder="1" applyAlignment="1">
      <alignment horizontal="left"/>
    </xf>
    <xf numFmtId="49" fontId="39" fillId="0" borderId="35" xfId="0" applyNumberFormat="1" applyFont="1" applyBorder="1" applyAlignment="1">
      <alignment horizontal="left" vertical="center"/>
    </xf>
    <xf numFmtId="166" fontId="36" fillId="0" borderId="0" xfId="0" applyNumberFormat="1" applyFont="1" applyFill="1" applyBorder="1"/>
    <xf numFmtId="0" fontId="36" fillId="0" borderId="0" xfId="0" applyFont="1" applyBorder="1"/>
    <xf numFmtId="0" fontId="36" fillId="0" borderId="0" xfId="0" applyFont="1" applyBorder="1" applyAlignment="1">
      <alignment horizontal="center"/>
    </xf>
    <xf numFmtId="0" fontId="36" fillId="0" borderId="0" xfId="0" applyFont="1" applyAlignment="1">
      <alignment horizontal="left"/>
    </xf>
    <xf numFmtId="0" fontId="41" fillId="0" borderId="0" xfId="0" applyFont="1" applyAlignment="1">
      <alignment horizontal="left"/>
    </xf>
    <xf numFmtId="0" fontId="43" fillId="0" borderId="0" xfId="0" applyFont="1" applyAlignment="1">
      <alignment horizontal="right"/>
    </xf>
    <xf numFmtId="15" fontId="44" fillId="0" borderId="0" xfId="0" applyNumberFormat="1" applyFont="1" applyAlignment="1">
      <alignment horizontal="center" vertical="center"/>
    </xf>
    <xf numFmtId="0" fontId="45" fillId="0" borderId="0" xfId="0" applyFont="1" applyBorder="1" applyAlignment="1">
      <alignment wrapText="1"/>
    </xf>
    <xf numFmtId="0" fontId="45" fillId="0" borderId="0" xfId="0" applyFont="1" applyBorder="1" applyAlignment="1">
      <alignment horizontal="center" wrapText="1"/>
    </xf>
    <xf numFmtId="0" fontId="36" fillId="0" borderId="0" xfId="0" quotePrefix="1" applyFont="1"/>
    <xf numFmtId="15" fontId="41" fillId="0" borderId="10" xfId="0" applyNumberFormat="1" applyFont="1" applyBorder="1" applyAlignment="1">
      <alignment horizontal="center"/>
    </xf>
    <xf numFmtId="177" fontId="44" fillId="0" borderId="10" xfId="0" applyNumberFormat="1" applyFont="1" applyBorder="1" applyAlignment="1">
      <alignment horizontal="center" vertical="center"/>
    </xf>
    <xf numFmtId="0" fontId="46" fillId="0" borderId="0" xfId="0" applyFont="1" applyAlignment="1">
      <alignment horizontal="left"/>
    </xf>
    <xf numFmtId="0" fontId="46" fillId="0" borderId="0" xfId="0" applyFont="1"/>
    <xf numFmtId="186" fontId="46" fillId="0" borderId="0" xfId="0" applyNumberFormat="1" applyFont="1"/>
    <xf numFmtId="186" fontId="46" fillId="0" borderId="0" xfId="0" applyNumberFormat="1" applyFont="1" applyAlignment="1">
      <alignment horizontal="left"/>
    </xf>
    <xf numFmtId="186" fontId="46" fillId="0" borderId="0" xfId="0" applyNumberFormat="1" applyFont="1" applyAlignment="1">
      <alignment horizontal="center"/>
    </xf>
    <xf numFmtId="15" fontId="46" fillId="0" borderId="0" xfId="0" applyNumberFormat="1" applyFont="1" applyAlignment="1">
      <alignment horizontal="center"/>
    </xf>
    <xf numFmtId="187" fontId="46" fillId="0" borderId="0" xfId="0" applyNumberFormat="1" applyFont="1" applyAlignment="1">
      <alignment horizontal="center"/>
    </xf>
    <xf numFmtId="0" fontId="46" fillId="0" borderId="0" xfId="0" applyFont="1" applyFill="1"/>
    <xf numFmtId="0" fontId="47" fillId="0" borderId="0" xfId="0" applyFont="1" applyAlignment="1">
      <alignment horizontal="right"/>
    </xf>
    <xf numFmtId="15" fontId="48" fillId="0" borderId="0" xfId="0" applyNumberFormat="1" applyFont="1" applyAlignment="1">
      <alignment horizontal="center" vertical="center"/>
    </xf>
    <xf numFmtId="0" fontId="46" fillId="0" borderId="0" xfId="0" applyFont="1" applyAlignment="1">
      <alignment horizontal="center"/>
    </xf>
    <xf numFmtId="0" fontId="46" fillId="0" borderId="0" xfId="0" applyFont="1" applyFill="1"/>
    <xf numFmtId="0" fontId="49" fillId="0" borderId="0" xfId="0" applyFont="1" applyBorder="1" applyAlignment="1">
      <alignment horizontal="center" wrapText="1"/>
    </xf>
    <xf numFmtId="0" fontId="46" fillId="2" borderId="0" xfId="0" applyFont="1" applyFill="1"/>
    <xf numFmtId="0" fontId="49" fillId="0" borderId="0" xfId="0" applyFont="1" applyAlignment="1">
      <alignment horizontal="center"/>
    </xf>
    <xf numFmtId="0" fontId="46" fillId="0" borderId="0" xfId="0" applyFont="1" applyAlignment="1">
      <alignment horizontal="center" vertical="center"/>
    </xf>
    <xf numFmtId="0" fontId="46" fillId="0" borderId="0" xfId="0" applyFont="1" applyFill="1" applyAlignment="1">
      <alignment horizontal="center" vertical="center"/>
    </xf>
    <xf numFmtId="0" fontId="48" fillId="5" borderId="22" xfId="0" applyFont="1" applyFill="1" applyBorder="1" applyAlignment="1">
      <alignment horizontal="center" vertical="center" wrapText="1"/>
    </xf>
    <xf numFmtId="0" fontId="46" fillId="0" borderId="0" xfId="0" applyFont="1" applyFill="1" applyAlignment="1">
      <alignment horizontal="center" vertical="center"/>
    </xf>
    <xf numFmtId="0" fontId="46" fillId="2" borderId="0" xfId="0" applyFont="1" applyFill="1" applyAlignment="1">
      <alignment horizontal="center" vertical="center"/>
    </xf>
    <xf numFmtId="0" fontId="48" fillId="0" borderId="22" xfId="0" applyFont="1" applyFill="1" applyBorder="1" applyAlignment="1">
      <alignment horizontal="center" vertical="center" wrapText="1"/>
    </xf>
    <xf numFmtId="186" fontId="48" fillId="5" borderId="22" xfId="0" applyNumberFormat="1" applyFont="1" applyFill="1" applyBorder="1" applyAlignment="1">
      <alignment horizontal="center" vertical="center" wrapText="1"/>
    </xf>
    <xf numFmtId="186" fontId="48" fillId="5" borderId="22" xfId="0" applyNumberFormat="1" applyFont="1" applyFill="1" applyBorder="1" applyAlignment="1">
      <alignment horizontal="center" wrapText="1"/>
    </xf>
    <xf numFmtId="186" fontId="48" fillId="5" borderId="62" xfId="0" applyNumberFormat="1" applyFont="1" applyFill="1" applyBorder="1" applyAlignment="1">
      <alignment horizontal="center" vertical="center" wrapText="1"/>
    </xf>
    <xf numFmtId="15" fontId="48" fillId="5" borderId="62" xfId="0" applyNumberFormat="1" applyFont="1" applyFill="1" applyBorder="1" applyAlignment="1">
      <alignment horizontal="center" vertical="center" wrapText="1"/>
    </xf>
    <xf numFmtId="187" fontId="48" fillId="5" borderId="62" xfId="0" applyNumberFormat="1" applyFont="1" applyFill="1" applyBorder="1" applyAlignment="1">
      <alignment horizontal="center" vertical="center" wrapText="1"/>
    </xf>
    <xf numFmtId="0" fontId="48" fillId="5" borderId="22" xfId="0" applyFont="1" applyFill="1" applyBorder="1" applyAlignment="1">
      <alignment horizontal="center" vertical="center"/>
    </xf>
    <xf numFmtId="0" fontId="44" fillId="0" borderId="0" xfId="0" applyFont="1" applyAlignment="1">
      <alignment horizontal="center" vertical="center"/>
    </xf>
    <xf numFmtId="186" fontId="44" fillId="0" borderId="0" xfId="0" applyNumberFormat="1" applyFont="1" applyAlignment="1">
      <alignment horizontal="center" vertical="center"/>
    </xf>
    <xf numFmtId="186" fontId="44" fillId="0" borderId="0" xfId="0" applyNumberFormat="1" applyFont="1" applyAlignment="1">
      <alignment horizontal="left" vertical="center"/>
    </xf>
    <xf numFmtId="15" fontId="44" fillId="0" borderId="0" xfId="0" applyNumberFormat="1" applyFont="1" applyAlignment="1">
      <alignment horizontal="center" vertical="center"/>
    </xf>
    <xf numFmtId="187" fontId="44" fillId="0" borderId="0" xfId="0" applyNumberFormat="1" applyFont="1" applyAlignment="1">
      <alignment horizontal="center" vertical="center"/>
    </xf>
    <xf numFmtId="0" fontId="50" fillId="0" borderId="0" xfId="0" applyFont="1" applyAlignment="1">
      <alignment horizontal="center" vertical="center"/>
    </xf>
    <xf numFmtId="0" fontId="44" fillId="0" borderId="0" xfId="0" applyFont="1" applyFill="1" applyAlignment="1">
      <alignment horizontal="center" vertical="center"/>
    </xf>
    <xf numFmtId="186" fontId="44" fillId="0" borderId="0" xfId="0" applyNumberFormat="1" applyFont="1" applyFill="1" applyAlignment="1">
      <alignment horizontal="center" vertical="center"/>
    </xf>
    <xf numFmtId="186" fontId="44" fillId="0" borderId="0" xfId="0" applyNumberFormat="1" applyFont="1" applyFill="1" applyAlignment="1">
      <alignment horizontal="left" vertical="center"/>
    </xf>
    <xf numFmtId="15" fontId="52" fillId="0" borderId="0" xfId="0" applyNumberFormat="1" applyFont="1" applyFill="1" applyAlignment="1">
      <alignment horizontal="center" vertical="center"/>
    </xf>
    <xf numFmtId="187" fontId="52" fillId="0" borderId="0" xfId="0" applyNumberFormat="1" applyFont="1" applyFill="1" applyAlignment="1">
      <alignment horizontal="center" vertical="center"/>
    </xf>
    <xf numFmtId="186" fontId="53" fillId="0" borderId="0" xfId="0" applyNumberFormat="1" applyFont="1" applyFill="1" applyAlignment="1">
      <alignment horizontal="center" vertical="center"/>
    </xf>
    <xf numFmtId="0" fontId="36" fillId="0" borderId="0" xfId="0" applyFont="1" applyFill="1" applyAlignment="1">
      <alignment horizontal="center"/>
    </xf>
    <xf numFmtId="0" fontId="54" fillId="0" borderId="0" xfId="0" applyFont="1" applyFill="1" applyAlignment="1">
      <alignment horizontal="center"/>
    </xf>
    <xf numFmtId="0" fontId="54" fillId="0" borderId="0" xfId="0" applyFont="1" applyFill="1"/>
    <xf numFmtId="186" fontId="54" fillId="0" borderId="0" xfId="0" applyNumberFormat="1" applyFont="1" applyFill="1"/>
    <xf numFmtId="186" fontId="54" fillId="0" borderId="0" xfId="0" applyNumberFormat="1" applyFont="1" applyFill="1" applyAlignment="1">
      <alignment horizontal="left"/>
    </xf>
    <xf numFmtId="186" fontId="54" fillId="0" borderId="0" xfId="0" applyNumberFormat="1" applyFont="1" applyFill="1" applyAlignment="1">
      <alignment horizontal="center"/>
    </xf>
    <xf numFmtId="15" fontId="54" fillId="0" borderId="0" xfId="0" applyNumberFormat="1" applyFont="1" applyFill="1" applyAlignment="1">
      <alignment horizontal="center"/>
    </xf>
    <xf numFmtId="187" fontId="54" fillId="0" borderId="0" xfId="0" applyNumberFormat="1" applyFont="1" applyFill="1" applyAlignment="1">
      <alignment horizontal="center"/>
    </xf>
    <xf numFmtId="0" fontId="55" fillId="0" borderId="0" xfId="0" applyFont="1" applyFill="1" applyAlignment="1">
      <alignment horizontal="left" vertical="center"/>
    </xf>
    <xf numFmtId="0" fontId="44" fillId="0" borderId="23" xfId="0" applyFont="1" applyFill="1" applyBorder="1" applyAlignment="1">
      <alignment horizontal="center" vertical="center"/>
    </xf>
    <xf numFmtId="49" fontId="56" fillId="0" borderId="23" xfId="0" applyNumberFormat="1" applyFont="1" applyFill="1" applyBorder="1" applyAlignment="1">
      <alignment horizontal="center"/>
    </xf>
    <xf numFmtId="15" fontId="54" fillId="0" borderId="23" xfId="0" applyNumberFormat="1" applyFont="1" applyFill="1" applyBorder="1" applyAlignment="1">
      <alignment horizontal="center"/>
    </xf>
    <xf numFmtId="1" fontId="54" fillId="0" borderId="23" xfId="0" applyNumberFormat="1" applyFont="1" applyFill="1" applyBorder="1" applyAlignment="1">
      <alignment horizontal="center"/>
    </xf>
    <xf numFmtId="0" fontId="54" fillId="0" borderId="23" xfId="0" applyFont="1" applyFill="1" applyBorder="1" applyAlignment="1">
      <alignment horizontal="center"/>
    </xf>
    <xf numFmtId="186" fontId="54" fillId="0" borderId="23" xfId="0" applyNumberFormat="1" applyFont="1" applyFill="1" applyBorder="1" applyAlignment="1">
      <alignment horizontal="center"/>
    </xf>
    <xf numFmtId="180" fontId="54" fillId="0" borderId="23" xfId="0" applyNumberFormat="1" applyFont="1" applyFill="1" applyBorder="1" applyAlignment="1">
      <alignment horizontal="center"/>
    </xf>
    <xf numFmtId="186" fontId="54" fillId="0" borderId="23" xfId="0" applyNumberFormat="1" applyFont="1" applyFill="1" applyBorder="1" applyAlignment="1">
      <alignment horizontal="left"/>
    </xf>
    <xf numFmtId="186" fontId="36" fillId="0" borderId="23" xfId="0" applyNumberFormat="1" applyFont="1" applyFill="1" applyBorder="1"/>
    <xf numFmtId="186" fontId="52" fillId="0" borderId="23" xfId="0" applyNumberFormat="1" applyFont="1" applyFill="1" applyBorder="1" applyAlignment="1">
      <alignment horizontal="center" vertical="top"/>
    </xf>
    <xf numFmtId="1" fontId="36" fillId="0" borderId="23" xfId="0" applyNumberFormat="1" applyFont="1" applyFill="1" applyBorder="1" applyAlignment="1">
      <alignment horizontal="center"/>
    </xf>
    <xf numFmtId="188" fontId="36" fillId="0" borderId="23" xfId="0" applyNumberFormat="1" applyFont="1" applyFill="1" applyBorder="1" applyAlignment="1">
      <alignment horizontal="center"/>
    </xf>
    <xf numFmtId="189" fontId="52" fillId="0" borderId="23" xfId="0" applyNumberFormat="1" applyFont="1" applyFill="1" applyBorder="1" applyAlignment="1">
      <alignment horizontal="center" vertical="top"/>
    </xf>
    <xf numFmtId="186" fontId="52" fillId="0" borderId="23" xfId="0" applyNumberFormat="1" applyFont="1" applyFill="1" applyBorder="1" applyAlignment="1">
      <alignment horizontal="center" vertical="top"/>
    </xf>
    <xf numFmtId="10" fontId="36" fillId="0" borderId="23" xfId="0" applyNumberFormat="1" applyFont="1" applyFill="1" applyBorder="1" applyAlignment="1">
      <alignment horizontal="center"/>
    </xf>
    <xf numFmtId="15" fontId="36" fillId="0" borderId="23" xfId="0" applyNumberFormat="1" applyFont="1" applyFill="1" applyBorder="1" applyAlignment="1">
      <alignment horizontal="center"/>
    </xf>
    <xf numFmtId="0" fontId="36" fillId="0" borderId="0" xfId="0" applyFont="1" applyFill="1" applyBorder="1" applyAlignment="1">
      <alignment horizontal="center"/>
    </xf>
    <xf numFmtId="0" fontId="36" fillId="0" borderId="0" xfId="0" applyFont="1" applyFill="1" applyBorder="1" applyAlignment="1">
      <alignment horizontal="center"/>
    </xf>
    <xf numFmtId="10" fontId="36" fillId="0" borderId="0" xfId="0" applyNumberFormat="1" applyFont="1" applyFill="1" applyBorder="1"/>
    <xf numFmtId="166" fontId="36" fillId="0" borderId="23" xfId="0" applyNumberFormat="1" applyFont="1" applyFill="1" applyBorder="1" applyAlignment="1">
      <alignment horizontal="center"/>
    </xf>
    <xf numFmtId="0" fontId="36" fillId="0" borderId="23" xfId="0" applyFont="1" applyFill="1" applyBorder="1"/>
    <xf numFmtId="0" fontId="44" fillId="0" borderId="0" xfId="0" applyFont="1" applyFill="1" applyBorder="1" applyAlignment="1">
      <alignment horizontal="center" vertical="center"/>
    </xf>
    <xf numFmtId="49" fontId="56" fillId="0" borderId="0" xfId="0" applyNumberFormat="1" applyFont="1" applyFill="1" applyBorder="1" applyAlignment="1">
      <alignment horizontal="center"/>
    </xf>
    <xf numFmtId="15" fontId="54" fillId="0" borderId="0" xfId="0" applyNumberFormat="1" applyFont="1" applyFill="1" applyBorder="1" applyAlignment="1">
      <alignment horizontal="center"/>
    </xf>
    <xf numFmtId="1" fontId="54" fillId="0" borderId="0" xfId="0" applyNumberFormat="1" applyFont="1" applyFill="1" applyBorder="1" applyAlignment="1">
      <alignment horizontal="center"/>
    </xf>
    <xf numFmtId="0" fontId="54" fillId="0" borderId="0" xfId="0" applyFont="1" applyFill="1" applyBorder="1" applyAlignment="1">
      <alignment horizontal="center"/>
    </xf>
    <xf numFmtId="186" fontId="54" fillId="0" borderId="0" xfId="0" applyNumberFormat="1" applyFont="1" applyFill="1" applyBorder="1"/>
    <xf numFmtId="186" fontId="54" fillId="0" borderId="0" xfId="0" applyNumberFormat="1" applyFont="1" applyFill="1" applyBorder="1" applyAlignment="1">
      <alignment horizontal="left"/>
    </xf>
    <xf numFmtId="186" fontId="54" fillId="0" borderId="0" xfId="0" applyNumberFormat="1" applyFont="1" applyFill="1" applyBorder="1"/>
    <xf numFmtId="186" fontId="54" fillId="0" borderId="0" xfId="0" applyNumberFormat="1" applyFont="1" applyFill="1" applyBorder="1" applyAlignment="1">
      <alignment horizontal="center"/>
    </xf>
    <xf numFmtId="15" fontId="54" fillId="0" borderId="0" xfId="0" applyNumberFormat="1" applyFont="1" applyFill="1" applyBorder="1" applyAlignment="1">
      <alignment horizontal="center"/>
    </xf>
    <xf numFmtId="172" fontId="54" fillId="0" borderId="0" xfId="0" applyNumberFormat="1" applyFont="1" applyFill="1" applyBorder="1" applyAlignment="1">
      <alignment horizontal="center"/>
    </xf>
    <xf numFmtId="166" fontId="52" fillId="0" borderId="0" xfId="0" applyNumberFormat="1" applyFont="1" applyFill="1" applyBorder="1" applyAlignment="1">
      <alignment horizontal="center" vertical="top"/>
    </xf>
    <xf numFmtId="186" fontId="55" fillId="0" borderId="0" xfId="0" applyNumberFormat="1" applyFont="1" applyFill="1" applyBorder="1" applyAlignment="1">
      <alignment horizontal="center" vertical="top"/>
    </xf>
    <xf numFmtId="10" fontId="54" fillId="0" borderId="0" xfId="0" applyNumberFormat="1" applyFont="1" applyFill="1" applyBorder="1" applyAlignment="1">
      <alignment horizontal="center"/>
    </xf>
    <xf numFmtId="166" fontId="36" fillId="0" borderId="0" xfId="0" applyNumberFormat="1" applyFont="1" applyFill="1" applyBorder="1" applyAlignment="1">
      <alignment horizontal="center"/>
    </xf>
    <xf numFmtId="186" fontId="36" fillId="0" borderId="0" xfId="0" applyNumberFormat="1" applyFont="1" applyFill="1" applyBorder="1"/>
    <xf numFmtId="0" fontId="41" fillId="0" borderId="0" xfId="0" applyFont="1" applyFill="1" applyBorder="1"/>
    <xf numFmtId="49" fontId="57" fillId="0" borderId="0" xfId="0" applyNumberFormat="1" applyFont="1" applyFill="1" applyBorder="1" applyAlignment="1">
      <alignment horizontal="center"/>
    </xf>
    <xf numFmtId="15" fontId="58" fillId="0" borderId="0" xfId="0" applyNumberFormat="1" applyFont="1" applyFill="1" applyBorder="1" applyAlignment="1">
      <alignment horizontal="center"/>
    </xf>
    <xf numFmtId="1" fontId="58" fillId="0" borderId="0" xfId="0" applyNumberFormat="1" applyFont="1" applyFill="1" applyBorder="1" applyAlignment="1">
      <alignment horizontal="center" vertical="center"/>
    </xf>
    <xf numFmtId="0" fontId="58" fillId="0" borderId="0" xfId="0" applyFont="1" applyFill="1" applyBorder="1" applyAlignment="1">
      <alignment horizontal="center"/>
    </xf>
    <xf numFmtId="186" fontId="57" fillId="0" borderId="0" xfId="0" applyNumberFormat="1" applyFont="1" applyFill="1" applyBorder="1"/>
    <xf numFmtId="180" fontId="58" fillId="0" borderId="0" xfId="0" applyNumberFormat="1" applyFont="1" applyFill="1" applyBorder="1" applyAlignment="1">
      <alignment horizontal="center"/>
    </xf>
    <xf numFmtId="186" fontId="58" fillId="0" borderId="0" xfId="0" applyNumberFormat="1" applyFont="1" applyFill="1" applyBorder="1" applyAlignment="1">
      <alignment horizontal="center"/>
    </xf>
    <xf numFmtId="15" fontId="58" fillId="0" borderId="0" xfId="0" applyNumberFormat="1" applyFont="1" applyFill="1" applyBorder="1" applyAlignment="1">
      <alignment horizontal="center"/>
    </xf>
    <xf numFmtId="172" fontId="58" fillId="0" borderId="0" xfId="0" applyNumberFormat="1" applyFont="1" applyFill="1" applyBorder="1" applyAlignment="1">
      <alignment horizontal="center"/>
    </xf>
    <xf numFmtId="166" fontId="44" fillId="0" borderId="0" xfId="0" applyNumberFormat="1" applyFont="1" applyFill="1" applyBorder="1" applyAlignment="1">
      <alignment horizontal="center" vertical="top"/>
    </xf>
    <xf numFmtId="186" fontId="44" fillId="0" borderId="0" xfId="0" applyNumberFormat="1" applyFont="1" applyFill="1" applyBorder="1" applyAlignment="1">
      <alignment horizontal="center" vertical="top"/>
    </xf>
    <xf numFmtId="10" fontId="44" fillId="0" borderId="0" xfId="0" applyNumberFormat="1" applyFont="1" applyFill="1" applyBorder="1" applyAlignment="1">
      <alignment horizontal="center" vertical="top"/>
    </xf>
    <xf numFmtId="15" fontId="44" fillId="0" borderId="0" xfId="0" applyNumberFormat="1" applyFont="1" applyFill="1" applyBorder="1" applyAlignment="1">
      <alignment horizontal="center" vertical="top"/>
    </xf>
    <xf numFmtId="0" fontId="44" fillId="0" borderId="0" xfId="0" applyNumberFormat="1" applyFont="1" applyFill="1" applyBorder="1" applyAlignment="1">
      <alignment horizontal="center" vertical="top"/>
    </xf>
    <xf numFmtId="0" fontId="41" fillId="0" borderId="0" xfId="0" applyFont="1" applyFill="1" applyBorder="1" applyAlignment="1">
      <alignment horizontal="center"/>
    </xf>
    <xf numFmtId="0" fontId="41" fillId="0" borderId="0" xfId="0" applyFont="1" applyFill="1" applyBorder="1" applyAlignment="1">
      <alignment horizontal="center"/>
    </xf>
    <xf numFmtId="0" fontId="44" fillId="0" borderId="0" xfId="0" applyFont="1" applyFill="1" applyBorder="1" applyAlignment="1">
      <alignment horizontal="center" vertical="top"/>
    </xf>
    <xf numFmtId="15" fontId="41" fillId="0" borderId="0" xfId="0" applyNumberFormat="1" applyFont="1" applyFill="1" applyBorder="1"/>
    <xf numFmtId="166" fontId="41" fillId="0" borderId="0" xfId="0" applyNumberFormat="1" applyFont="1" applyFill="1" applyBorder="1"/>
    <xf numFmtId="186" fontId="41" fillId="0" borderId="0" xfId="0" applyNumberFormat="1" applyFont="1" applyFill="1" applyBorder="1"/>
    <xf numFmtId="166" fontId="54" fillId="0" borderId="0" xfId="0" applyNumberFormat="1" applyFont="1" applyFill="1" applyAlignment="1">
      <alignment horizontal="center"/>
    </xf>
    <xf numFmtId="1" fontId="54" fillId="0" borderId="0" xfId="0" applyNumberFormat="1" applyFont="1" applyFill="1" applyAlignment="1">
      <alignment horizontal="center"/>
    </xf>
    <xf numFmtId="0" fontId="54" fillId="0" borderId="0" xfId="0" applyFont="1" applyFill="1" applyBorder="1"/>
    <xf numFmtId="186" fontId="36" fillId="0" borderId="0" xfId="0" applyNumberFormat="1" applyFont="1" applyFill="1"/>
    <xf numFmtId="15" fontId="44" fillId="0" borderId="0" xfId="0" applyNumberFormat="1" applyFont="1" applyFill="1" applyAlignment="1">
      <alignment horizontal="center" vertical="center"/>
    </xf>
    <xf numFmtId="187" fontId="44" fillId="0" borderId="0" xfId="0" applyNumberFormat="1" applyFont="1" applyFill="1" applyAlignment="1">
      <alignment horizontal="center" vertical="center"/>
    </xf>
    <xf numFmtId="166" fontId="44" fillId="0" borderId="0" xfId="0" applyNumberFormat="1" applyFont="1" applyFill="1" applyAlignment="1">
      <alignment horizontal="center" vertical="center"/>
    </xf>
    <xf numFmtId="1" fontId="44" fillId="0" borderId="0" xfId="0" applyNumberFormat="1" applyFont="1" applyFill="1" applyAlignment="1">
      <alignment horizontal="center" vertical="center"/>
    </xf>
    <xf numFmtId="186" fontId="59" fillId="0" borderId="0" xfId="0" applyNumberFormat="1" applyFont="1" applyFill="1" applyAlignment="1">
      <alignment horizontal="left" vertical="center"/>
    </xf>
    <xf numFmtId="166" fontId="59" fillId="0" borderId="0" xfId="0" applyNumberFormat="1" applyFont="1" applyFill="1" applyBorder="1" applyAlignment="1">
      <alignment horizontal="center" vertical="top"/>
    </xf>
    <xf numFmtId="184" fontId="44" fillId="0" borderId="0" xfId="0" applyNumberFormat="1" applyFont="1" applyFill="1" applyAlignment="1">
      <alignment horizontal="center" vertical="center"/>
    </xf>
    <xf numFmtId="186" fontId="44" fillId="0" borderId="0" xfId="0" applyNumberFormat="1" applyFont="1" applyFill="1" applyAlignment="1">
      <alignment horizontal="center" vertical="center"/>
    </xf>
    <xf numFmtId="0" fontId="41" fillId="0" borderId="23" xfId="0" applyFont="1" applyFill="1" applyBorder="1" applyAlignment="1">
      <alignment horizontal="center"/>
    </xf>
    <xf numFmtId="186" fontId="36" fillId="0" borderId="23" xfId="0" applyNumberFormat="1" applyFont="1" applyFill="1" applyBorder="1" applyAlignment="1">
      <alignment horizontal="center"/>
    </xf>
    <xf numFmtId="15" fontId="36" fillId="0" borderId="23" xfId="0" applyNumberFormat="1" applyFont="1" applyFill="1" applyBorder="1" applyAlignment="1">
      <alignment horizontal="center"/>
    </xf>
    <xf numFmtId="187" fontId="36" fillId="0" borderId="23" xfId="0" applyNumberFormat="1" applyFont="1" applyFill="1" applyBorder="1" applyAlignment="1">
      <alignment horizontal="center"/>
    </xf>
    <xf numFmtId="166" fontId="52" fillId="0" borderId="23" xfId="0" applyNumberFormat="1" applyFont="1" applyFill="1" applyBorder="1" applyAlignment="1">
      <alignment horizontal="center" vertical="top"/>
    </xf>
    <xf numFmtId="43" fontId="36" fillId="0" borderId="23" xfId="0" applyNumberFormat="1" applyFont="1" applyFill="1" applyBorder="1"/>
    <xf numFmtId="0" fontId="36" fillId="0" borderId="23" xfId="0" applyFont="1" applyFill="1" applyBorder="1" applyAlignment="1">
      <alignment horizontal="center"/>
    </xf>
    <xf numFmtId="1" fontId="36" fillId="0" borderId="23" xfId="0" applyNumberFormat="1" applyFont="1" applyFill="1" applyBorder="1" applyAlignment="1">
      <alignment horizontal="center"/>
    </xf>
    <xf numFmtId="186" fontId="52" fillId="0" borderId="23" xfId="0" applyNumberFormat="1" applyFont="1" applyFill="1" applyBorder="1" applyAlignment="1">
      <alignment vertical="top"/>
    </xf>
    <xf numFmtId="186" fontId="36" fillId="0" borderId="23" xfId="0" applyNumberFormat="1" applyFont="1" applyFill="1" applyBorder="1"/>
    <xf numFmtId="188" fontId="52" fillId="0" borderId="23" xfId="0" applyNumberFormat="1" applyFont="1" applyFill="1" applyBorder="1" applyAlignment="1">
      <alignment horizontal="center" vertical="top"/>
    </xf>
    <xf numFmtId="0" fontId="54" fillId="0" borderId="23" xfId="0" applyFont="1" applyFill="1" applyBorder="1" applyAlignment="1">
      <alignment horizontal="center"/>
    </xf>
    <xf numFmtId="1" fontId="54" fillId="0" borderId="0" xfId="0" applyNumberFormat="1" applyFont="1" applyFill="1" applyBorder="1" applyAlignment="1">
      <alignment horizontal="center" vertical="center"/>
    </xf>
    <xf numFmtId="0" fontId="54" fillId="0" borderId="0" xfId="0" applyFont="1" applyFill="1" applyBorder="1" applyAlignment="1">
      <alignment horizontal="center" vertical="center"/>
    </xf>
    <xf numFmtId="189" fontId="52" fillId="0" borderId="0" xfId="0" applyNumberFormat="1" applyFont="1" applyFill="1" applyBorder="1" applyAlignment="1">
      <alignment vertical="top"/>
    </xf>
    <xf numFmtId="186" fontId="52" fillId="0" borderId="0" xfId="0" applyNumberFormat="1" applyFont="1" applyFill="1" applyBorder="1" applyAlignment="1">
      <alignment horizontal="left" vertical="top"/>
    </xf>
    <xf numFmtId="186" fontId="52" fillId="0" borderId="0" xfId="0" applyNumberFormat="1" applyFont="1" applyFill="1" applyBorder="1" applyAlignment="1">
      <alignment vertical="top"/>
    </xf>
    <xf numFmtId="186" fontId="52" fillId="0" borderId="0" xfId="0" applyNumberFormat="1" applyFont="1" applyFill="1" applyBorder="1" applyAlignment="1">
      <alignment horizontal="center" vertical="top"/>
    </xf>
    <xf numFmtId="15" fontId="52" fillId="0" borderId="0" xfId="0" applyNumberFormat="1" applyFont="1" applyFill="1" applyBorder="1" applyAlignment="1">
      <alignment horizontal="center" vertical="top"/>
    </xf>
    <xf numFmtId="187" fontId="52" fillId="0" borderId="0" xfId="0" applyNumberFormat="1" applyFont="1" applyFill="1" applyBorder="1" applyAlignment="1">
      <alignment horizontal="center" vertical="top"/>
    </xf>
    <xf numFmtId="1" fontId="52" fillId="0" borderId="0" xfId="0" applyNumberFormat="1" applyFont="1" applyFill="1" applyBorder="1" applyAlignment="1">
      <alignment horizontal="center" vertical="top"/>
    </xf>
    <xf numFmtId="188" fontId="52" fillId="0" borderId="0" xfId="0" applyNumberFormat="1" applyFont="1" applyFill="1" applyBorder="1" applyAlignment="1">
      <alignment horizontal="center" vertical="top"/>
    </xf>
    <xf numFmtId="189" fontId="52" fillId="0" borderId="0" xfId="0" applyNumberFormat="1" applyFont="1" applyFill="1" applyBorder="1" applyAlignment="1">
      <alignment horizontal="center" vertical="top"/>
    </xf>
    <xf numFmtId="186" fontId="52" fillId="0" borderId="0" xfId="0" applyNumberFormat="1" applyFont="1" applyFill="1" applyBorder="1" applyAlignment="1">
      <alignment horizontal="center" vertical="top"/>
    </xf>
    <xf numFmtId="10" fontId="52" fillId="0" borderId="0" xfId="0" applyNumberFormat="1" applyFont="1" applyFill="1" applyBorder="1" applyAlignment="1">
      <alignment horizontal="center" vertical="top"/>
    </xf>
    <xf numFmtId="15" fontId="52" fillId="0" borderId="0" xfId="0" applyNumberFormat="1" applyFont="1" applyFill="1" applyBorder="1" applyAlignment="1">
      <alignment horizontal="center" vertical="top"/>
    </xf>
    <xf numFmtId="166" fontId="52" fillId="0" borderId="0" xfId="0" applyNumberFormat="1" applyFont="1" applyFill="1" applyBorder="1" applyAlignment="1">
      <alignment vertical="top"/>
    </xf>
    <xf numFmtId="0" fontId="60" fillId="0" borderId="0" xfId="0" applyFont="1" applyFill="1" applyBorder="1" applyAlignment="1">
      <alignment horizontal="center"/>
    </xf>
    <xf numFmtId="186" fontId="58" fillId="0" borderId="0" xfId="0" applyNumberFormat="1" applyFont="1" applyFill="1" applyBorder="1"/>
    <xf numFmtId="186" fontId="41" fillId="0" borderId="0" xfId="0" applyNumberFormat="1" applyFont="1" applyFill="1" applyBorder="1"/>
    <xf numFmtId="186" fontId="36" fillId="0" borderId="0" xfId="0" applyNumberFormat="1" applyFont="1" applyFill="1" applyBorder="1" applyAlignment="1">
      <alignment horizontal="center"/>
    </xf>
    <xf numFmtId="15" fontId="36" fillId="0" borderId="0" xfId="0" applyNumberFormat="1" applyFont="1" applyFill="1" applyBorder="1" applyAlignment="1">
      <alignment horizontal="center"/>
    </xf>
    <xf numFmtId="187" fontId="36" fillId="0" borderId="0" xfId="0" applyNumberFormat="1" applyFont="1" applyFill="1" applyBorder="1" applyAlignment="1">
      <alignment horizontal="center"/>
    </xf>
    <xf numFmtId="186" fontId="41" fillId="0" borderId="0" xfId="0" applyNumberFormat="1" applyFont="1" applyFill="1" applyBorder="1" applyAlignment="1">
      <alignment horizontal="center"/>
    </xf>
    <xf numFmtId="1" fontId="36" fillId="0" borderId="0" xfId="0" applyNumberFormat="1" applyFont="1" applyFill="1" applyBorder="1" applyAlignment="1">
      <alignment horizontal="center"/>
    </xf>
    <xf numFmtId="188" fontId="36" fillId="0" borderId="0" xfId="0" applyNumberFormat="1" applyFont="1" applyFill="1" applyBorder="1" applyAlignment="1">
      <alignment horizontal="center"/>
    </xf>
    <xf numFmtId="189" fontId="36" fillId="0" borderId="0" xfId="0" applyNumberFormat="1" applyFont="1" applyFill="1" applyBorder="1"/>
    <xf numFmtId="186" fontId="58" fillId="0" borderId="0" xfId="0" applyNumberFormat="1" applyFont="1" applyFill="1" applyBorder="1"/>
    <xf numFmtId="186" fontId="44" fillId="0" borderId="0" xfId="0" applyNumberFormat="1" applyFont="1" applyFill="1" applyBorder="1" applyAlignment="1">
      <alignment horizontal="center" vertical="center"/>
    </xf>
    <xf numFmtId="186" fontId="44" fillId="0" borderId="0" xfId="0" applyNumberFormat="1" applyFont="1" applyFill="1" applyBorder="1" applyAlignment="1">
      <alignment horizontal="left" vertical="center"/>
    </xf>
    <xf numFmtId="15" fontId="44" fillId="0" borderId="0" xfId="0" applyNumberFormat="1" applyFont="1" applyFill="1" applyBorder="1" applyAlignment="1">
      <alignment horizontal="center" vertical="center"/>
    </xf>
    <xf numFmtId="187" fontId="44" fillId="0" borderId="0" xfId="0" applyNumberFormat="1" applyFont="1" applyFill="1" applyBorder="1" applyAlignment="1">
      <alignment horizontal="center" vertical="center"/>
    </xf>
    <xf numFmtId="166" fontId="44" fillId="0" borderId="0" xfId="0" applyNumberFormat="1" applyFont="1" applyFill="1" applyBorder="1" applyAlignment="1">
      <alignment horizontal="center" vertical="center"/>
    </xf>
    <xf numFmtId="186" fontId="52" fillId="0" borderId="0" xfId="0" applyNumberFormat="1" applyFont="1" applyFill="1" applyBorder="1" applyAlignment="1">
      <alignment horizontal="center" vertical="center"/>
    </xf>
    <xf numFmtId="1" fontId="44" fillId="0" borderId="0" xfId="0" applyNumberFormat="1" applyFont="1" applyFill="1" applyBorder="1" applyAlignment="1">
      <alignment horizontal="center" vertical="center"/>
    </xf>
    <xf numFmtId="188" fontId="44" fillId="0" borderId="0" xfId="0" applyNumberFormat="1" applyFont="1" applyFill="1" applyBorder="1" applyAlignment="1">
      <alignment horizontal="center" vertical="center"/>
    </xf>
    <xf numFmtId="189" fontId="44" fillId="0" borderId="0" xfId="0" applyNumberFormat="1" applyFont="1" applyFill="1" applyBorder="1" applyAlignment="1">
      <alignment horizontal="center" vertical="center"/>
    </xf>
    <xf numFmtId="0" fontId="41" fillId="0" borderId="66" xfId="0" applyFont="1" applyFill="1" applyBorder="1" applyAlignment="1">
      <alignment horizontal="center"/>
    </xf>
    <xf numFmtId="186" fontId="61" fillId="0" borderId="0" xfId="0" applyNumberFormat="1" applyFont="1" applyFill="1" applyBorder="1" applyAlignment="1">
      <alignment horizontal="center"/>
    </xf>
    <xf numFmtId="186" fontId="44" fillId="0" borderId="0" xfId="0" applyNumberFormat="1" applyFont="1" applyFill="1" applyBorder="1" applyAlignment="1">
      <alignment horizontal="center" vertical="center"/>
    </xf>
    <xf numFmtId="186" fontId="41" fillId="2" borderId="0" xfId="0" applyNumberFormat="1" applyFont="1" applyFill="1"/>
    <xf numFmtId="0" fontId="36" fillId="0" borderId="0" xfId="0" quotePrefix="1" applyFont="1" applyAlignment="1">
      <alignment horizontal="left"/>
    </xf>
    <xf numFmtId="0" fontId="36" fillId="0" borderId="0" xfId="0" quotePrefix="1" applyFont="1" applyFill="1" applyAlignment="1">
      <alignment horizontal="left"/>
    </xf>
    <xf numFmtId="186" fontId="36" fillId="0" borderId="0" xfId="0" applyNumberFormat="1" applyFont="1" applyFill="1" applyAlignment="1">
      <alignment horizontal="left"/>
    </xf>
    <xf numFmtId="186" fontId="36" fillId="0" borderId="0" xfId="0" applyNumberFormat="1" applyFont="1" applyFill="1" applyAlignment="1">
      <alignment horizontal="center"/>
    </xf>
    <xf numFmtId="15" fontId="36" fillId="0" borderId="0" xfId="0" applyNumberFormat="1" applyFont="1" applyFill="1" applyAlignment="1">
      <alignment horizontal="center"/>
    </xf>
    <xf numFmtId="187" fontId="36" fillId="0" borderId="0" xfId="0" applyNumberFormat="1" applyFont="1" applyFill="1" applyAlignment="1">
      <alignment horizontal="center"/>
    </xf>
    <xf numFmtId="9" fontId="36" fillId="0" borderId="0" xfId="0" applyNumberFormat="1" applyFont="1" applyFill="1"/>
    <xf numFmtId="186" fontId="53" fillId="0" borderId="37" xfId="0" applyNumberFormat="1" applyFont="1" applyFill="1" applyBorder="1"/>
    <xf numFmtId="0" fontId="59" fillId="0" borderId="0" xfId="0" applyFont="1" applyFill="1"/>
    <xf numFmtId="0" fontId="36" fillId="0" borderId="0" xfId="0" applyFont="1" applyFill="1" applyAlignment="1">
      <alignment horizontal="left"/>
    </xf>
    <xf numFmtId="0" fontId="53" fillId="0" borderId="0" xfId="0" applyFont="1" applyFill="1"/>
    <xf numFmtId="0" fontId="36" fillId="0" borderId="0" xfId="0" applyFont="1" applyBorder="1" applyAlignment="1">
      <alignment horizontal="left"/>
    </xf>
    <xf numFmtId="0" fontId="62" fillId="0" borderId="0" xfId="0" applyFont="1"/>
    <xf numFmtId="0" fontId="64" fillId="0" borderId="0" xfId="0" applyFont="1"/>
    <xf numFmtId="0" fontId="64" fillId="0" borderId="0" xfId="0" applyFont="1" applyAlignment="1">
      <alignment horizontal="center"/>
    </xf>
    <xf numFmtId="0" fontId="62" fillId="0" borderId="0" xfId="0" applyFont="1"/>
    <xf numFmtId="2" fontId="65" fillId="9" borderId="10" xfId="0" applyNumberFormat="1" applyFont="1" applyFill="1" applyBorder="1" applyAlignment="1">
      <alignment horizontal="center" vertical="center" wrapText="1"/>
    </xf>
    <xf numFmtId="177" fontId="64" fillId="0" borderId="10" xfId="0" applyNumberFormat="1" applyFont="1" applyBorder="1"/>
    <xf numFmtId="0" fontId="64" fillId="0" borderId="11" xfId="0" applyFont="1" applyBorder="1"/>
    <xf numFmtId="0" fontId="64" fillId="0" borderId="12" xfId="0" applyFont="1" applyBorder="1"/>
    <xf numFmtId="0" fontId="64" fillId="0" borderId="12" xfId="0" applyFont="1" applyBorder="1" applyAlignment="1">
      <alignment horizontal="center"/>
    </xf>
    <xf numFmtId="0" fontId="64" fillId="0" borderId="13" xfId="0" applyFont="1" applyBorder="1"/>
    <xf numFmtId="0" fontId="64" fillId="0" borderId="0" xfId="0" applyFont="1" applyBorder="1"/>
    <xf numFmtId="0" fontId="64" fillId="0" borderId="0" xfId="0" applyFont="1" applyBorder="1" applyAlignment="1">
      <alignment horizontal="center"/>
    </xf>
    <xf numFmtId="2" fontId="62" fillId="0" borderId="0" xfId="0" applyNumberFormat="1" applyFont="1" applyFill="1" applyBorder="1" applyAlignment="1">
      <alignment horizontal="center" vertical="center" wrapText="1"/>
    </xf>
    <xf numFmtId="2" fontId="62" fillId="0" borderId="67" xfId="0" applyNumberFormat="1" applyFont="1" applyFill="1" applyBorder="1" applyAlignment="1">
      <alignment horizontal="center" vertical="center" wrapText="1"/>
    </xf>
    <xf numFmtId="2" fontId="64" fillId="0" borderId="0" xfId="0" applyNumberFormat="1" applyFont="1" applyFill="1" applyBorder="1"/>
    <xf numFmtId="2" fontId="65" fillId="9" borderId="74" xfId="0" applyNumberFormat="1" applyFont="1" applyFill="1" applyBorder="1" applyAlignment="1">
      <alignment horizontal="center" vertical="center" wrapText="1"/>
    </xf>
    <xf numFmtId="2" fontId="65" fillId="9" borderId="75" xfId="0" applyNumberFormat="1" applyFont="1" applyFill="1" applyBorder="1" applyAlignment="1">
      <alignment horizontal="center" vertical="center" wrapText="1"/>
    </xf>
    <xf numFmtId="2" fontId="65" fillId="9" borderId="76" xfId="0" applyNumberFormat="1" applyFont="1" applyFill="1" applyBorder="1" applyAlignment="1">
      <alignment horizontal="center" vertical="center" wrapText="1"/>
    </xf>
    <xf numFmtId="2" fontId="64" fillId="9" borderId="74" xfId="0" applyNumberFormat="1" applyFont="1" applyFill="1" applyBorder="1"/>
    <xf numFmtId="49" fontId="67" fillId="0" borderId="0" xfId="0" applyNumberFormat="1" applyFont="1" applyAlignment="1"/>
    <xf numFmtId="15" fontId="64" fillId="0" borderId="0" xfId="0" applyNumberFormat="1" applyFont="1" applyAlignment="1">
      <alignment horizontal="center"/>
    </xf>
    <xf numFmtId="166" fontId="64" fillId="0" borderId="0" xfId="0" applyNumberFormat="1" applyFont="1"/>
    <xf numFmtId="0" fontId="64" fillId="0" borderId="82" xfId="0" applyFont="1" applyBorder="1" applyAlignment="1">
      <alignment horizontal="center"/>
    </xf>
    <xf numFmtId="0" fontId="64" fillId="0" borderId="83" xfId="0" applyFont="1" applyBorder="1"/>
    <xf numFmtId="0" fontId="64" fillId="0" borderId="83" xfId="0" applyFont="1" applyBorder="1" applyAlignment="1">
      <alignment horizontal="center"/>
    </xf>
    <xf numFmtId="15" fontId="64" fillId="0" borderId="83" xfId="0" applyNumberFormat="1" applyFont="1" applyBorder="1" applyAlignment="1">
      <alignment horizontal="center"/>
    </xf>
    <xf numFmtId="167" fontId="64" fillId="0" borderId="83" xfId="0" applyNumberFormat="1" applyFont="1" applyBorder="1" applyAlignment="1">
      <alignment horizontal="center"/>
    </xf>
    <xf numFmtId="166" fontId="64" fillId="0" borderId="83" xfId="0" applyNumberFormat="1" applyFont="1" applyBorder="1"/>
    <xf numFmtId="166" fontId="64" fillId="0" borderId="83" xfId="0" applyNumberFormat="1" applyFont="1" applyBorder="1"/>
    <xf numFmtId="15" fontId="64" fillId="0" borderId="83" xfId="0" applyNumberFormat="1" applyFont="1" applyBorder="1"/>
    <xf numFmtId="178" fontId="64" fillId="0" borderId="83" xfId="0" applyNumberFormat="1" applyFont="1" applyBorder="1"/>
    <xf numFmtId="185" fontId="64" fillId="0" borderId="83" xfId="0" applyNumberFormat="1" applyFont="1" applyFill="1" applyBorder="1" applyAlignment="1" applyProtection="1">
      <alignment horizontal="center" vertical="center"/>
    </xf>
    <xf numFmtId="166" fontId="64" fillId="0" borderId="84" xfId="0" applyNumberFormat="1" applyFont="1" applyBorder="1"/>
    <xf numFmtId="166" fontId="64" fillId="0" borderId="85" xfId="0" applyNumberFormat="1" applyFont="1" applyBorder="1"/>
    <xf numFmtId="166" fontId="64" fillId="0" borderId="0" xfId="0" applyNumberFormat="1" applyFont="1" applyBorder="1"/>
    <xf numFmtId="178" fontId="64" fillId="0" borderId="0" xfId="0" applyNumberFormat="1" applyFont="1" applyBorder="1"/>
    <xf numFmtId="185" fontId="64" fillId="0" borderId="0" xfId="0" applyNumberFormat="1" applyFont="1" applyFill="1" applyBorder="1" applyAlignment="1" applyProtection="1">
      <alignment horizontal="center" vertical="center"/>
    </xf>
    <xf numFmtId="190" fontId="64" fillId="0" borderId="0" xfId="0" applyNumberFormat="1" applyFont="1" applyBorder="1"/>
    <xf numFmtId="191" fontId="64" fillId="0" borderId="0" xfId="0" applyNumberFormat="1" applyFont="1" applyBorder="1"/>
    <xf numFmtId="43" fontId="64" fillId="0" borderId="0" xfId="0" applyNumberFormat="1" applyFont="1" applyBorder="1"/>
    <xf numFmtId="0" fontId="62" fillId="0" borderId="0" xfId="0" applyFont="1" applyAlignment="1">
      <alignment horizontal="center"/>
    </xf>
    <xf numFmtId="166" fontId="62" fillId="0" borderId="0" xfId="0" applyNumberFormat="1" applyFont="1" applyBorder="1"/>
    <xf numFmtId="0" fontId="62" fillId="0" borderId="0" xfId="0" applyFont="1" applyBorder="1"/>
    <xf numFmtId="166" fontId="62" fillId="0" borderId="0" xfId="0" applyNumberFormat="1" applyFont="1" applyBorder="1"/>
    <xf numFmtId="43" fontId="62" fillId="0" borderId="0" xfId="0" applyNumberFormat="1" applyFont="1" applyBorder="1"/>
    <xf numFmtId="0" fontId="68" fillId="0" borderId="0" xfId="0" applyFont="1"/>
    <xf numFmtId="0" fontId="64" fillId="0" borderId="8" xfId="0" applyFont="1" applyBorder="1"/>
    <xf numFmtId="0" fontId="62" fillId="0" borderId="8" xfId="0" applyFont="1" applyBorder="1"/>
    <xf numFmtId="166" fontId="62" fillId="0" borderId="8" xfId="0" applyNumberFormat="1" applyFont="1" applyFill="1" applyBorder="1"/>
    <xf numFmtId="43" fontId="64" fillId="0" borderId="0" xfId="0" applyNumberFormat="1" applyFont="1"/>
    <xf numFmtId="166" fontId="62" fillId="0" borderId="5" xfId="0" applyNumberFormat="1" applyFont="1" applyBorder="1"/>
    <xf numFmtId="0" fontId="70" fillId="0" borderId="0" xfId="0" applyFont="1"/>
    <xf numFmtId="188" fontId="64" fillId="0" borderId="83" xfId="0" applyNumberFormat="1" applyFont="1" applyBorder="1"/>
    <xf numFmtId="188" fontId="64" fillId="0" borderId="84" xfId="0" applyNumberFormat="1" applyFont="1" applyBorder="1"/>
    <xf numFmtId="178" fontId="64" fillId="0" borderId="85" xfId="0" applyNumberFormat="1" applyFont="1" applyFill="1" applyBorder="1" applyAlignment="1">
      <alignment horizontal="center" vertical="center"/>
    </xf>
    <xf numFmtId="15" fontId="64" fillId="0" borderId="0" xfId="0" applyNumberFormat="1" applyFont="1" applyBorder="1"/>
    <xf numFmtId="15" fontId="64" fillId="0" borderId="0" xfId="0" applyNumberFormat="1" applyFont="1" applyBorder="1" applyAlignment="1">
      <alignment horizontal="center"/>
    </xf>
    <xf numFmtId="188" fontId="64" fillId="0" borderId="0" xfId="0" applyNumberFormat="1" applyFont="1" applyBorder="1"/>
    <xf numFmtId="178" fontId="64" fillId="0" borderId="0" xfId="0" applyNumberFormat="1" applyFont="1" applyFill="1" applyBorder="1" applyAlignment="1">
      <alignment horizontal="center" vertical="center"/>
    </xf>
    <xf numFmtId="166" fontId="64" fillId="0" borderId="0" xfId="0" applyNumberFormat="1" applyFont="1"/>
    <xf numFmtId="0" fontId="64" fillId="0" borderId="89" xfId="0" applyFont="1" applyFill="1" applyBorder="1" applyAlignment="1">
      <alignment horizontal="center" vertical="center"/>
    </xf>
    <xf numFmtId="0" fontId="64" fillId="0" borderId="0" xfId="0" applyFont="1" applyFill="1" applyBorder="1" applyAlignment="1">
      <alignment horizontal="center" vertical="center"/>
    </xf>
    <xf numFmtId="10" fontId="64" fillId="0" borderId="0" xfId="0" applyNumberFormat="1" applyFont="1" applyFill="1" applyBorder="1" applyAlignment="1">
      <alignment horizontal="center" vertical="center"/>
    </xf>
    <xf numFmtId="10" fontId="13" fillId="0" borderId="0" xfId="0" applyNumberFormat="1" applyFont="1" applyFill="1" applyBorder="1" applyAlignment="1">
      <alignment horizontal="center" vertical="center"/>
    </xf>
    <xf numFmtId="10" fontId="64" fillId="0" borderId="0" xfId="0" applyNumberFormat="1" applyFont="1" applyFill="1" applyBorder="1"/>
    <xf numFmtId="10" fontId="0" fillId="0" borderId="90" xfId="0" applyNumberFormat="1" applyFont="1" applyBorder="1"/>
    <xf numFmtId="10" fontId="64" fillId="0" borderId="0" xfId="0" applyNumberFormat="1" applyFont="1" applyAlignment="1">
      <alignment horizontal="center"/>
    </xf>
    <xf numFmtId="0" fontId="64" fillId="0" borderId="73" xfId="0" applyFont="1" applyFill="1" applyBorder="1" applyAlignment="1">
      <alignment horizontal="center" vertical="center"/>
    </xf>
    <xf numFmtId="0" fontId="64" fillId="0" borderId="35" xfId="0" applyFont="1" applyFill="1" applyBorder="1" applyAlignment="1">
      <alignment horizontal="center" vertical="center"/>
    </xf>
    <xf numFmtId="10" fontId="64" fillId="0" borderId="35" xfId="0" applyNumberFormat="1" applyFont="1" applyFill="1" applyBorder="1" applyAlignment="1">
      <alignment horizontal="center" vertical="center"/>
    </xf>
    <xf numFmtId="10" fontId="64" fillId="0" borderId="35" xfId="0" applyNumberFormat="1" applyFont="1" applyFill="1" applyBorder="1"/>
    <xf numFmtId="10" fontId="0" fillId="0" borderId="67" xfId="0" applyNumberFormat="1" applyFont="1" applyBorder="1"/>
    <xf numFmtId="0" fontId="64" fillId="0" borderId="73" xfId="0" applyFont="1" applyBorder="1" applyAlignment="1">
      <alignment vertical="center"/>
    </xf>
    <xf numFmtId="0" fontId="64" fillId="0" borderId="35" xfId="0" applyFont="1" applyBorder="1" applyAlignment="1">
      <alignment vertical="center"/>
    </xf>
    <xf numFmtId="0" fontId="64" fillId="0" borderId="35" xfId="0" applyFont="1" applyBorder="1" applyAlignment="1">
      <alignment horizontal="center" vertical="center"/>
    </xf>
    <xf numFmtId="0" fontId="64" fillId="0" borderId="67" xfId="0" applyFont="1" applyBorder="1" applyAlignment="1">
      <alignment horizontal="center" vertical="center"/>
    </xf>
    <xf numFmtId="2" fontId="65" fillId="6" borderId="34" xfId="0" applyNumberFormat="1" applyFont="1" applyFill="1" applyBorder="1" applyAlignment="1">
      <alignment horizontal="center" vertical="center" wrapText="1"/>
    </xf>
    <xf numFmtId="2" fontId="62" fillId="6" borderId="0" xfId="0" applyNumberFormat="1" applyFont="1" applyFill="1" applyBorder="1" applyAlignment="1">
      <alignment horizontal="center" vertical="center" wrapText="1"/>
    </xf>
    <xf numFmtId="2" fontId="65" fillId="6" borderId="73" xfId="0" applyNumberFormat="1" applyFont="1" applyFill="1" applyBorder="1" applyAlignment="1">
      <alignment horizontal="center" vertical="center" wrapText="1"/>
    </xf>
    <xf numFmtId="2" fontId="65" fillId="6" borderId="74" xfId="0" applyNumberFormat="1" applyFont="1" applyFill="1" applyBorder="1" applyAlignment="1">
      <alignment horizontal="center" vertical="center" wrapText="1"/>
    </xf>
    <xf numFmtId="2" fontId="65" fillId="6" borderId="75" xfId="0" applyNumberFormat="1" applyFont="1" applyFill="1" applyBorder="1" applyAlignment="1">
      <alignment horizontal="center" vertical="center" wrapText="1"/>
    </xf>
    <xf numFmtId="2" fontId="65" fillId="6" borderId="76" xfId="0" applyNumberFormat="1" applyFont="1" applyFill="1" applyBorder="1" applyAlignment="1">
      <alignment horizontal="center" vertical="center" wrapText="1"/>
    </xf>
    <xf numFmtId="2" fontId="66" fillId="6" borderId="74" xfId="0" applyNumberFormat="1" applyFont="1" applyFill="1" applyBorder="1" applyAlignment="1">
      <alignment horizontal="center" vertical="center" wrapText="1"/>
    </xf>
    <xf numFmtId="2" fontId="65" fillId="6" borderId="77" xfId="0" applyNumberFormat="1" applyFont="1" applyFill="1" applyBorder="1" applyAlignment="1">
      <alignment horizontal="center" vertical="center" wrapText="1"/>
    </xf>
    <xf numFmtId="2" fontId="65" fillId="6" borderId="78" xfId="0" applyNumberFormat="1" applyFont="1" applyFill="1" applyBorder="1" applyAlignment="1">
      <alignment horizontal="center" vertical="center" wrapText="1"/>
    </xf>
    <xf numFmtId="2" fontId="65" fillId="6" borderId="79" xfId="0" applyNumberFormat="1" applyFont="1" applyFill="1" applyBorder="1" applyAlignment="1">
      <alignment horizontal="center" vertical="center" wrapText="1"/>
    </xf>
    <xf numFmtId="2" fontId="65" fillId="6" borderId="80" xfId="0" applyNumberFormat="1" applyFont="1" applyFill="1" applyBorder="1" applyAlignment="1">
      <alignment horizontal="center" vertical="center" wrapText="1"/>
    </xf>
    <xf numFmtId="2" fontId="65" fillId="6" borderId="81" xfId="0" applyNumberFormat="1" applyFont="1" applyFill="1" applyBorder="1" applyAlignment="1">
      <alignment horizontal="center" vertical="center" wrapText="1"/>
    </xf>
    <xf numFmtId="0" fontId="65" fillId="6" borderId="70" xfId="0" applyFont="1" applyFill="1" applyBorder="1" applyAlignment="1">
      <alignment horizontal="center" vertical="center"/>
    </xf>
    <xf numFmtId="166" fontId="65" fillId="6" borderId="74" xfId="0" applyNumberFormat="1" applyFont="1" applyFill="1" applyBorder="1" applyAlignment="1">
      <alignment horizontal="center" vertical="center" wrapText="1"/>
    </xf>
    <xf numFmtId="166" fontId="65" fillId="6" borderId="77" xfId="0" applyNumberFormat="1" applyFont="1" applyFill="1" applyBorder="1" applyAlignment="1">
      <alignment horizontal="center" vertical="center" wrapText="1"/>
    </xf>
    <xf numFmtId="166" fontId="65" fillId="6" borderId="75" xfId="0" applyNumberFormat="1" applyFont="1" applyFill="1" applyBorder="1" applyAlignment="1">
      <alignment horizontal="center" vertical="center" wrapText="1"/>
    </xf>
    <xf numFmtId="2" fontId="65" fillId="6" borderId="71" xfId="0" applyNumberFormat="1" applyFont="1" applyFill="1" applyBorder="1" applyAlignment="1">
      <alignment horizontal="center" vertical="center" wrapText="1"/>
    </xf>
    <xf numFmtId="2" fontId="65" fillId="6" borderId="72" xfId="0" applyNumberFormat="1" applyFont="1" applyFill="1" applyBorder="1" applyAlignment="1">
      <alignment horizontal="center" vertical="center" wrapText="1"/>
    </xf>
    <xf numFmtId="0" fontId="65" fillId="6" borderId="11" xfId="0" applyFont="1" applyFill="1" applyBorder="1"/>
    <xf numFmtId="0" fontId="65" fillId="6" borderId="12" xfId="0" applyFont="1" applyFill="1" applyBorder="1"/>
    <xf numFmtId="0" fontId="65" fillId="6" borderId="12" xfId="0" applyFont="1" applyFill="1" applyBorder="1" applyAlignment="1">
      <alignment horizontal="center"/>
    </xf>
    <xf numFmtId="0" fontId="65" fillId="6" borderId="13" xfId="0" applyFont="1" applyFill="1" applyBorder="1"/>
    <xf numFmtId="0" fontId="65" fillId="6" borderId="86" xfId="0" applyFont="1" applyFill="1" applyBorder="1" applyAlignment="1">
      <alignment horizontal="center" vertical="center"/>
    </xf>
    <xf numFmtId="0" fontId="64" fillId="6" borderId="50" xfId="0" applyFont="1" applyFill="1" applyBorder="1"/>
    <xf numFmtId="0" fontId="65" fillId="6" borderId="87" xfId="0" applyFont="1" applyFill="1" applyBorder="1" applyAlignment="1">
      <alignment horizontal="center" vertical="center"/>
    </xf>
    <xf numFmtId="10" fontId="64" fillId="6" borderId="50" xfId="0" applyNumberFormat="1" applyFont="1" applyFill="1" applyBorder="1"/>
    <xf numFmtId="0" fontId="65" fillId="6" borderId="88" xfId="0" applyFont="1" applyFill="1" applyBorder="1" applyAlignment="1">
      <alignment horizontal="center" vertical="center"/>
    </xf>
    <xf numFmtId="2" fontId="65" fillId="6" borderId="79" xfId="0" quotePrefix="1" applyNumberFormat="1" applyFont="1" applyFill="1" applyBorder="1" applyAlignment="1">
      <alignment horizontal="center" vertical="center" wrapText="1"/>
    </xf>
    <xf numFmtId="178" fontId="64" fillId="0" borderId="23" xfId="0" applyNumberFormat="1" applyFont="1" applyBorder="1"/>
    <xf numFmtId="166" fontId="64" fillId="0" borderId="23" xfId="0" applyNumberFormat="1" applyFont="1" applyBorder="1"/>
    <xf numFmtId="0" fontId="71" fillId="0" borderId="0" xfId="0" applyNumberFormat="1" applyFont="1" applyFill="1" applyAlignment="1">
      <alignment vertical="top"/>
    </xf>
    <xf numFmtId="166" fontId="71" fillId="0" borderId="0" xfId="0" applyNumberFormat="1" applyFont="1" applyFill="1" applyAlignment="1">
      <alignment vertical="top"/>
    </xf>
    <xf numFmtId="0" fontId="8" fillId="0" borderId="0" xfId="0" applyNumberFormat="1" applyFont="1" applyFill="1" applyAlignment="1">
      <alignment vertical="top"/>
    </xf>
    <xf numFmtId="166" fontId="72" fillId="0" borderId="0" xfId="0" applyNumberFormat="1" applyFont="1" applyFill="1" applyAlignment="1">
      <alignment vertical="top"/>
    </xf>
    <xf numFmtId="0" fontId="8" fillId="0" borderId="0" xfId="0" applyFont="1" applyFill="1"/>
    <xf numFmtId="166" fontId="74" fillId="0" borderId="0" xfId="0" applyNumberFormat="1" applyFont="1" applyFill="1" applyAlignment="1">
      <alignment horizontal="right" vertical="top"/>
    </xf>
    <xf numFmtId="0" fontId="9" fillId="2" borderId="0" xfId="0" applyNumberFormat="1" applyFont="1" applyFill="1" applyAlignment="1"/>
    <xf numFmtId="0" fontId="9" fillId="2" borderId="0" xfId="0" applyNumberFormat="1" applyFont="1" applyFill="1" applyAlignment="1" applyProtection="1"/>
    <xf numFmtId="0" fontId="75" fillId="0" borderId="0" xfId="0" applyNumberFormat="1" applyFont="1" applyFill="1" applyAlignment="1">
      <alignment horizontal="left"/>
    </xf>
    <xf numFmtId="0" fontId="8" fillId="0" borderId="0" xfId="0" applyFont="1" applyFill="1"/>
    <xf numFmtId="166" fontId="74" fillId="0" borderId="0" xfId="0" applyNumberFormat="1" applyFont="1" applyFill="1" applyAlignment="1">
      <alignment vertical="top"/>
    </xf>
    <xf numFmtId="0" fontId="9" fillId="0" borderId="0" xfId="0" applyNumberFormat="1" applyFont="1" applyFill="1" applyAlignment="1">
      <alignment vertical="top"/>
    </xf>
    <xf numFmtId="0" fontId="76" fillId="0" borderId="0" xfId="0" applyFont="1" applyFill="1"/>
    <xf numFmtId="0" fontId="74" fillId="0" borderId="0" xfId="0" applyFont="1" applyFill="1"/>
    <xf numFmtId="0" fontId="74" fillId="0" borderId="0" xfId="0" applyFont="1" applyFill="1" applyAlignment="1">
      <alignment horizontal="left"/>
    </xf>
    <xf numFmtId="0" fontId="74" fillId="0" borderId="0" xfId="0" quotePrefix="1" applyFont="1" applyFill="1" applyAlignment="1">
      <alignment horizontal="left" indent="1"/>
    </xf>
    <xf numFmtId="0" fontId="74" fillId="0" borderId="0" xfId="0" applyNumberFormat="1" applyFont="1" applyFill="1" applyAlignment="1">
      <alignment vertical="top"/>
    </xf>
    <xf numFmtId="37" fontId="76" fillId="0" borderId="0" xfId="0" applyNumberFormat="1" applyFont="1" applyFill="1" applyProtection="1"/>
    <xf numFmtId="0" fontId="76" fillId="0" borderId="0" xfId="0" applyFont="1" applyFill="1" applyBorder="1"/>
    <xf numFmtId="0" fontId="74" fillId="0" borderId="0" xfId="0" applyFont="1" applyFill="1" applyAlignment="1">
      <alignment vertical="top"/>
    </xf>
    <xf numFmtId="0" fontId="76" fillId="0" borderId="0" xfId="0" applyFont="1" applyFill="1" applyAlignment="1">
      <alignment vertical="center"/>
    </xf>
    <xf numFmtId="0" fontId="73" fillId="2" borderId="0" xfId="0" applyFont="1" applyFill="1"/>
    <xf numFmtId="0" fontId="9" fillId="2" borderId="0" xfId="0" applyFont="1" applyFill="1"/>
    <xf numFmtId="0" fontId="74" fillId="0" borderId="0" xfId="0" applyFont="1" applyFill="1" applyAlignment="1"/>
    <xf numFmtId="0" fontId="9" fillId="2" borderId="0" xfId="0" applyFont="1" applyFill="1" applyAlignment="1" applyProtection="1">
      <alignment horizontal="left"/>
    </xf>
    <xf numFmtId="0" fontId="73" fillId="2" borderId="0" xfId="0" applyFont="1" applyFill="1" applyAlignment="1" applyProtection="1">
      <alignment horizontal="left"/>
    </xf>
    <xf numFmtId="192" fontId="9" fillId="0" borderId="0" xfId="0" applyNumberFormat="1" applyFont="1" applyFill="1" applyAlignment="1" applyProtection="1">
      <alignment vertical="center"/>
    </xf>
    <xf numFmtId="37" fontId="74" fillId="0" borderId="0" xfId="0" applyNumberFormat="1" applyFont="1" applyFill="1" applyProtection="1"/>
    <xf numFmtId="0" fontId="0" fillId="0" borderId="0" xfId="0"/>
    <xf numFmtId="0" fontId="0" fillId="0" borderId="0" xfId="0" quotePrefix="1"/>
    <xf numFmtId="0" fontId="73" fillId="2" borderId="0" xfId="0" applyFont="1" applyFill="1" applyAlignment="1"/>
    <xf numFmtId="166" fontId="73" fillId="2" borderId="0" xfId="0" applyNumberFormat="1" applyFont="1" applyFill="1" applyAlignment="1"/>
    <xf numFmtId="166" fontId="9" fillId="2" borderId="0" xfId="0" applyNumberFormat="1" applyFont="1" applyFill="1"/>
    <xf numFmtId="0" fontId="9" fillId="2" borderId="0" xfId="0" applyFont="1" applyFill="1"/>
    <xf numFmtId="166" fontId="9" fillId="2" borderId="0" xfId="0" applyNumberFormat="1" applyFont="1" applyFill="1"/>
    <xf numFmtId="166" fontId="73" fillId="2" borderId="0" xfId="0" applyNumberFormat="1" applyFont="1" applyFill="1"/>
    <xf numFmtId="0" fontId="9" fillId="0" borderId="0" xfId="0" applyNumberFormat="1" applyFont="1" applyFill="1"/>
    <xf numFmtId="0" fontId="9" fillId="0" borderId="0" xfId="0" applyFont="1" applyFill="1"/>
    <xf numFmtId="166" fontId="9" fillId="0" borderId="0" xfId="0" applyNumberFormat="1" applyFont="1" applyFill="1"/>
    <xf numFmtId="166" fontId="9" fillId="0" borderId="0" xfId="0" applyNumberFormat="1" applyFont="1" applyFill="1"/>
    <xf numFmtId="0" fontId="9" fillId="2" borderId="0" xfId="0" applyFont="1" applyFill="1" applyAlignment="1">
      <alignment vertical="top"/>
    </xf>
    <xf numFmtId="0" fontId="9" fillId="0" borderId="0" xfId="0" applyFont="1" applyFill="1" applyAlignment="1">
      <alignment vertical="top"/>
    </xf>
    <xf numFmtId="166" fontId="9" fillId="0" borderId="0" xfId="0" applyNumberFormat="1" applyFont="1" applyFill="1" applyAlignment="1">
      <alignment vertical="center"/>
    </xf>
    <xf numFmtId="0" fontId="9" fillId="0" borderId="0" xfId="0" applyNumberFormat="1" applyFont="1" applyFill="1" applyAlignment="1">
      <alignment vertical="top"/>
    </xf>
    <xf numFmtId="0" fontId="9" fillId="2" borderId="0" xfId="0" applyFont="1" applyFill="1" applyAlignment="1">
      <alignment vertical="center"/>
    </xf>
    <xf numFmtId="166" fontId="9" fillId="0" borderId="0" xfId="0" applyNumberFormat="1" applyFont="1" applyFill="1" applyBorder="1" applyAlignment="1">
      <alignment vertical="center"/>
    </xf>
    <xf numFmtId="0" fontId="9" fillId="0" borderId="0" xfId="0" applyFont="1" applyFill="1" applyAlignment="1">
      <alignment vertical="center"/>
    </xf>
    <xf numFmtId="0" fontId="73" fillId="0" borderId="0" xfId="0" applyNumberFormat="1" applyFont="1" applyFill="1" applyAlignment="1">
      <alignment horizontal="center"/>
    </xf>
    <xf numFmtId="165" fontId="9" fillId="0" borderId="0" xfId="0" applyNumberFormat="1" applyFont="1" applyFill="1"/>
    <xf numFmtId="0" fontId="73" fillId="0" borderId="0" xfId="0" applyNumberFormat="1" applyFont="1" applyFill="1" applyAlignment="1">
      <alignment horizontal="left"/>
    </xf>
    <xf numFmtId="0" fontId="73" fillId="0" borderId="0" xfId="0" applyFont="1" applyFill="1" applyAlignment="1">
      <alignment horizontal="left"/>
    </xf>
    <xf numFmtId="0" fontId="78" fillId="0" borderId="0" xfId="0" applyFont="1" applyFill="1"/>
    <xf numFmtId="1" fontId="73" fillId="0" borderId="0" xfId="0" quotePrefix="1" applyNumberFormat="1" applyFont="1" applyFill="1" applyAlignment="1">
      <alignment horizontal="left"/>
    </xf>
    <xf numFmtId="0" fontId="73" fillId="0" borderId="0" xfId="0" applyFont="1" applyFill="1" applyAlignment="1">
      <alignment vertical="top"/>
    </xf>
    <xf numFmtId="0" fontId="73" fillId="0" borderId="0" xfId="0" applyFont="1" applyFill="1" applyAlignment="1">
      <alignment horizontal="center"/>
    </xf>
    <xf numFmtId="166" fontId="9" fillId="0" borderId="0" xfId="0" applyNumberFormat="1" applyFont="1" applyFill="1" applyBorder="1" applyAlignment="1">
      <alignment horizontal="right"/>
    </xf>
    <xf numFmtId="0" fontId="73" fillId="0" borderId="0" xfId="0" quotePrefix="1" applyNumberFormat="1" applyFont="1" applyFill="1" applyAlignment="1">
      <alignment horizontal="left"/>
    </xf>
    <xf numFmtId="37" fontId="73" fillId="0" borderId="0" xfId="0" quotePrefix="1" applyNumberFormat="1" applyFont="1" applyFill="1" applyAlignment="1">
      <alignment horizontal="left"/>
    </xf>
    <xf numFmtId="0" fontId="73" fillId="0" borderId="0" xfId="0" applyFont="1" applyFill="1"/>
    <xf numFmtId="9" fontId="73" fillId="0" borderId="0" xfId="3" quotePrefix="1" applyFont="1" applyFill="1" applyAlignment="1">
      <alignment horizontal="left"/>
    </xf>
    <xf numFmtId="168" fontId="73" fillId="0" borderId="0" xfId="0" applyNumberFormat="1" applyFont="1" applyFill="1" applyAlignment="1">
      <alignment horizontal="left" vertical="top"/>
    </xf>
    <xf numFmtId="11" fontId="9" fillId="0" borderId="0" xfId="0" applyNumberFormat="1" applyFont="1" applyFill="1" applyAlignment="1">
      <alignment horizontal="justify" vertical="top"/>
    </xf>
    <xf numFmtId="0" fontId="73" fillId="0" borderId="0" xfId="0" applyNumberFormat="1" applyFont="1" applyFill="1" applyAlignment="1">
      <alignment horizontal="left" vertical="top"/>
    </xf>
    <xf numFmtId="0" fontId="9" fillId="0" borderId="0" xfId="0" applyFont="1" applyFill="1" applyAlignment="1">
      <alignment horizontal="justify" vertical="top" wrapText="1"/>
    </xf>
    <xf numFmtId="0" fontId="77" fillId="0" borderId="0" xfId="0" applyFont="1" applyFill="1"/>
    <xf numFmtId="0" fontId="78" fillId="0" borderId="0" xfId="0" applyFont="1" applyFill="1" applyAlignment="1">
      <alignment horizontal="center"/>
    </xf>
    <xf numFmtId="43" fontId="9" fillId="0" borderId="0" xfId="1" applyFont="1" applyFill="1" applyAlignment="1">
      <alignment horizontal="center"/>
    </xf>
    <xf numFmtId="165" fontId="73" fillId="0" borderId="0" xfId="0" applyNumberFormat="1" applyFont="1" applyFill="1" applyAlignment="1">
      <alignment vertical="top"/>
    </xf>
    <xf numFmtId="9" fontId="9" fillId="0" borderId="0" xfId="1" quotePrefix="1" applyNumberFormat="1" applyFont="1" applyFill="1" applyAlignment="1">
      <alignment horizontal="center"/>
    </xf>
    <xf numFmtId="43" fontId="9" fillId="0" borderId="0" xfId="1" quotePrefix="1" applyFont="1" applyFill="1" applyAlignment="1">
      <alignment horizontal="center"/>
    </xf>
    <xf numFmtId="0" fontId="78" fillId="0" borderId="0" xfId="0" applyFont="1" applyFill="1" applyAlignment="1">
      <alignment vertical="top"/>
    </xf>
    <xf numFmtId="43" fontId="9" fillId="0" borderId="0" xfId="1" applyFont="1" applyFill="1"/>
    <xf numFmtId="43" fontId="9" fillId="0" borderId="0" xfId="1" applyFont="1" applyFill="1" applyAlignment="1">
      <alignment vertical="top" wrapText="1"/>
    </xf>
    <xf numFmtId="37" fontId="9" fillId="0" borderId="0" xfId="0" applyNumberFormat="1" applyFont="1" applyFill="1" applyAlignment="1">
      <alignment vertical="top" wrapText="1"/>
    </xf>
    <xf numFmtId="0" fontId="79" fillId="0" borderId="0" xfId="0" quotePrefix="1" applyNumberFormat="1" applyFont="1" applyFill="1" applyAlignment="1">
      <alignment horizontal="left"/>
    </xf>
    <xf numFmtId="37" fontId="80" fillId="0" borderId="0" xfId="0" applyNumberFormat="1" applyFont="1" applyFill="1" applyAlignment="1">
      <alignment horizontal="justify" vertical="top"/>
    </xf>
    <xf numFmtId="0" fontId="82" fillId="0" borderId="0" xfId="0" applyFont="1" applyFill="1" applyAlignment="1">
      <alignment vertical="top"/>
    </xf>
    <xf numFmtId="43" fontId="83" fillId="0" borderId="0" xfId="1" applyFont="1" applyFill="1"/>
    <xf numFmtId="43" fontId="83" fillId="0" borderId="0" xfId="1" applyFont="1" applyFill="1" applyAlignment="1">
      <alignment horizontal="justify" vertical="top" wrapText="1"/>
    </xf>
    <xf numFmtId="37" fontId="83" fillId="0" borderId="0" xfId="0" applyNumberFormat="1" applyFont="1" applyFill="1" applyAlignment="1">
      <alignment horizontal="justify" vertical="top" wrapText="1"/>
    </xf>
    <xf numFmtId="0" fontId="83" fillId="0" borderId="0" xfId="0" applyFont="1" applyFill="1"/>
    <xf numFmtId="37" fontId="80" fillId="0" borderId="0" xfId="0" applyNumberFormat="1" applyFont="1" applyFill="1" applyAlignment="1">
      <alignment horizontal="center" vertical="center"/>
    </xf>
    <xf numFmtId="43" fontId="83" fillId="0" borderId="0" xfId="1" applyFont="1" applyFill="1" applyAlignment="1">
      <alignment horizontal="center" vertical="top" wrapText="1"/>
    </xf>
    <xf numFmtId="0" fontId="83" fillId="0" borderId="0" xfId="0" applyFont="1" applyFill="1" applyAlignment="1">
      <alignment horizontal="center" vertical="top" wrapText="1"/>
    </xf>
    <xf numFmtId="37" fontId="81" fillId="0" borderId="0" xfId="0" applyNumberFormat="1" applyFont="1" applyFill="1" applyAlignment="1">
      <alignment vertical="top"/>
    </xf>
    <xf numFmtId="0" fontId="79" fillId="0" borderId="0" xfId="0" quotePrefix="1" applyNumberFormat="1" applyFont="1" applyFill="1" applyAlignment="1"/>
    <xf numFmtId="0" fontId="81" fillId="0" borderId="0" xfId="0" quotePrefix="1" applyNumberFormat="1" applyFont="1" applyFill="1" applyAlignment="1"/>
    <xf numFmtId="0" fontId="83" fillId="0" borderId="0" xfId="0" applyFont="1" applyFill="1" applyAlignment="1"/>
    <xf numFmtId="37" fontId="83" fillId="0" borderId="0" xfId="0" applyNumberFormat="1" applyFont="1" applyFill="1" applyAlignment="1">
      <alignment vertical="top"/>
    </xf>
    <xf numFmtId="37" fontId="83" fillId="0" borderId="0" xfId="0" applyNumberFormat="1" applyFont="1" applyFill="1" applyAlignment="1">
      <alignment horizontal="justify" vertical="top"/>
    </xf>
    <xf numFmtId="15" fontId="83" fillId="0" borderId="0" xfId="0" applyNumberFormat="1" applyFont="1" applyFill="1" applyAlignment="1">
      <alignment horizontal="justify" vertical="top"/>
    </xf>
    <xf numFmtId="166" fontId="83" fillId="0" borderId="0" xfId="0" applyNumberFormat="1" applyFont="1" applyFill="1" applyAlignment="1">
      <alignment horizontal="justify" vertical="top"/>
    </xf>
    <xf numFmtId="0" fontId="80" fillId="0" borderId="0" xfId="0" quotePrefix="1" applyNumberFormat="1" applyFont="1" applyFill="1" applyAlignment="1"/>
    <xf numFmtId="0" fontId="80" fillId="0" borderId="0" xfId="0" quotePrefix="1" applyNumberFormat="1" applyFont="1" applyFill="1" applyAlignment="1">
      <alignment horizontal="center"/>
    </xf>
    <xf numFmtId="166" fontId="80" fillId="0" borderId="0" xfId="0" quotePrefix="1" applyNumberFormat="1" applyFont="1" applyFill="1" applyAlignment="1"/>
    <xf numFmtId="166" fontId="82" fillId="0" borderId="0" xfId="0" applyNumberFormat="1" applyFont="1" applyFill="1" applyAlignment="1">
      <alignment vertical="top"/>
    </xf>
    <xf numFmtId="166" fontId="83" fillId="0" borderId="0" xfId="0" applyNumberFormat="1" applyFont="1" applyFill="1" applyAlignment="1"/>
    <xf numFmtId="0" fontId="84" fillId="0" borderId="0" xfId="0" quotePrefix="1" applyNumberFormat="1" applyFont="1" applyFill="1" applyAlignment="1">
      <alignment horizontal="left" vertical="top" indent="1"/>
    </xf>
    <xf numFmtId="166" fontId="80" fillId="0" borderId="2" xfId="0" quotePrefix="1" applyNumberFormat="1" applyFont="1" applyFill="1" applyBorder="1" applyAlignment="1"/>
    <xf numFmtId="0" fontId="80" fillId="0" borderId="0" xfId="0" quotePrefix="1" applyNumberFormat="1" applyFont="1" applyFill="1" applyAlignment="1">
      <alignment horizontal="left" indent="2"/>
    </xf>
    <xf numFmtId="166" fontId="80" fillId="0" borderId="3" xfId="0" quotePrefix="1" applyNumberFormat="1" applyFont="1" applyFill="1" applyBorder="1" applyAlignment="1"/>
    <xf numFmtId="0" fontId="80" fillId="0" borderId="0" xfId="0" quotePrefix="1" applyNumberFormat="1" applyFont="1" applyFill="1" applyAlignment="1">
      <alignment horizontal="left" indent="1"/>
    </xf>
    <xf numFmtId="10" fontId="80" fillId="0" borderId="0" xfId="0" quotePrefix="1" applyNumberFormat="1" applyFont="1" applyFill="1" applyAlignment="1">
      <alignment horizontal="center"/>
    </xf>
    <xf numFmtId="0" fontId="79" fillId="0" borderId="0" xfId="0" quotePrefix="1" applyNumberFormat="1" applyFont="1" applyFill="1" applyAlignment="1">
      <alignment vertical="top"/>
    </xf>
    <xf numFmtId="0" fontId="80" fillId="0" borderId="0" xfId="0" quotePrefix="1" applyNumberFormat="1" applyFont="1" applyFill="1" applyAlignment="1">
      <alignment horizontal="left" vertical="top" indent="2"/>
    </xf>
    <xf numFmtId="0" fontId="80" fillId="0" borderId="0" xfId="0" quotePrefix="1" applyNumberFormat="1" applyFont="1" applyFill="1" applyAlignment="1">
      <alignment vertical="top"/>
    </xf>
    <xf numFmtId="10" fontId="80" fillId="0" borderId="0" xfId="0" quotePrefix="1" applyNumberFormat="1" applyFont="1" applyFill="1" applyAlignment="1">
      <alignment horizontal="center" vertical="top"/>
    </xf>
    <xf numFmtId="166" fontId="80" fillId="0" borderId="4" xfId="0" quotePrefix="1" applyNumberFormat="1" applyFont="1" applyFill="1" applyBorder="1" applyAlignment="1">
      <alignment vertical="top"/>
    </xf>
    <xf numFmtId="166" fontId="80" fillId="0" borderId="0" xfId="0" quotePrefix="1" applyNumberFormat="1" applyFont="1" applyFill="1" applyAlignment="1">
      <alignment vertical="top"/>
    </xf>
    <xf numFmtId="166" fontId="83" fillId="0" borderId="0" xfId="0" applyNumberFormat="1" applyFont="1" applyFill="1" applyAlignment="1">
      <alignment vertical="top"/>
    </xf>
    <xf numFmtId="0" fontId="83" fillId="0" borderId="0" xfId="0" applyFont="1" applyFill="1" applyAlignment="1">
      <alignment vertical="top"/>
    </xf>
    <xf numFmtId="166" fontId="80" fillId="0" borderId="0" xfId="0" applyNumberFormat="1" applyFont="1" applyFill="1" applyAlignment="1"/>
    <xf numFmtId="0" fontId="80" fillId="0" borderId="0" xfId="0" applyFont="1" applyFill="1" applyAlignment="1"/>
    <xf numFmtId="0" fontId="79" fillId="0" borderId="0" xfId="0" quotePrefix="1" applyNumberFormat="1" applyFont="1" applyFill="1" applyAlignment="1">
      <alignment vertical="center"/>
    </xf>
    <xf numFmtId="0" fontId="80" fillId="0" borderId="0" xfId="0" quotePrefix="1" applyNumberFormat="1" applyFont="1" applyFill="1" applyAlignment="1">
      <alignment vertical="center"/>
    </xf>
    <xf numFmtId="166" fontId="81" fillId="0" borderId="5" xfId="0" quotePrefix="1" applyNumberFormat="1" applyFont="1" applyFill="1" applyBorder="1" applyAlignment="1">
      <alignment vertical="center"/>
    </xf>
    <xf numFmtId="166" fontId="83" fillId="0" borderId="0" xfId="0" applyNumberFormat="1" applyFont="1" applyFill="1" applyAlignment="1">
      <alignment vertical="center"/>
    </xf>
    <xf numFmtId="0" fontId="83" fillId="0" borderId="0" xfId="0" applyFont="1" applyFill="1" applyAlignment="1">
      <alignment vertical="center"/>
    </xf>
    <xf numFmtId="37" fontId="83" fillId="0" borderId="0" xfId="0" applyNumberFormat="1" applyFont="1" applyFill="1" applyAlignment="1">
      <alignment horizontal="justify" vertical="center"/>
    </xf>
    <xf numFmtId="37" fontId="80" fillId="0" borderId="0" xfId="0" quotePrefix="1" applyNumberFormat="1" applyFont="1" applyFill="1" applyAlignment="1">
      <alignment horizontal="left"/>
    </xf>
    <xf numFmtId="166" fontId="83" fillId="0" borderId="0" xfId="0" quotePrefix="1" applyNumberFormat="1" applyFont="1" applyFill="1" applyAlignment="1"/>
    <xf numFmtId="166" fontId="81" fillId="0" borderId="5" xfId="0" quotePrefix="1" applyNumberFormat="1" applyFont="1" applyFill="1" applyBorder="1" applyAlignment="1"/>
    <xf numFmtId="0" fontId="79" fillId="0" borderId="0" xfId="0" quotePrefix="1" applyNumberFormat="1" applyFont="1" applyFill="1" applyBorder="1" applyAlignment="1"/>
    <xf numFmtId="0" fontId="81" fillId="0" borderId="0" xfId="0" quotePrefix="1" applyNumberFormat="1" applyFont="1" applyFill="1" applyBorder="1" applyAlignment="1"/>
    <xf numFmtId="0" fontId="80" fillId="0" borderId="0" xfId="0" quotePrefix="1" applyNumberFormat="1" applyFont="1" applyFill="1" applyBorder="1" applyAlignment="1"/>
    <xf numFmtId="166" fontId="81" fillId="0" borderId="7" xfId="0" quotePrefix="1" applyNumberFormat="1" applyFont="1" applyFill="1" applyBorder="1" applyAlignment="1"/>
    <xf numFmtId="165" fontId="82" fillId="0" borderId="0" xfId="0" applyNumberFormat="1" applyFont="1" applyFill="1" applyBorder="1" applyAlignment="1">
      <alignment vertical="center"/>
    </xf>
    <xf numFmtId="0" fontId="83" fillId="0" borderId="0" xfId="0" applyFont="1" applyFill="1" applyBorder="1" applyAlignment="1"/>
    <xf numFmtId="165" fontId="82" fillId="0" borderId="0" xfId="0" applyNumberFormat="1" applyFont="1" applyFill="1" applyAlignment="1">
      <alignment vertical="center"/>
    </xf>
    <xf numFmtId="166" fontId="80" fillId="0" borderId="7" xfId="0" quotePrefix="1" applyNumberFormat="1" applyFont="1" applyFill="1" applyBorder="1" applyAlignment="1"/>
    <xf numFmtId="0" fontId="83" fillId="0" borderId="0" xfId="0" quotePrefix="1" applyNumberFormat="1" applyFont="1" applyFill="1" applyAlignment="1">
      <alignment horizontal="left"/>
    </xf>
    <xf numFmtId="37" fontId="81" fillId="0" borderId="0" xfId="0" applyNumberFormat="1" applyFont="1" applyFill="1" applyAlignment="1">
      <alignment horizontal="center" vertical="top"/>
    </xf>
    <xf numFmtId="0" fontId="83" fillId="0" borderId="0" xfId="0" quotePrefix="1" applyNumberFormat="1" applyFont="1" applyFill="1" applyBorder="1" applyAlignment="1">
      <alignment horizontal="left"/>
    </xf>
    <xf numFmtId="37" fontId="80" fillId="0" borderId="0" xfId="0" applyNumberFormat="1" applyFont="1" applyFill="1" applyBorder="1" applyAlignment="1">
      <alignment horizontal="justify" vertical="top"/>
    </xf>
    <xf numFmtId="0" fontId="83" fillId="0" borderId="0" xfId="0" applyFont="1" applyFill="1" applyBorder="1"/>
    <xf numFmtId="37" fontId="81" fillId="0" borderId="0" xfId="0" applyNumberFormat="1" applyFont="1" applyFill="1" applyBorder="1" applyAlignment="1">
      <alignment horizontal="center" vertical="top"/>
    </xf>
    <xf numFmtId="37" fontId="80" fillId="0" borderId="0" xfId="0" applyNumberFormat="1" applyFont="1" applyFill="1" applyBorder="1" applyAlignment="1">
      <alignment horizontal="center" vertical="center"/>
    </xf>
    <xf numFmtId="37" fontId="81" fillId="0" borderId="0" xfId="0" applyNumberFormat="1" applyFont="1" applyFill="1" applyBorder="1" applyAlignment="1">
      <alignment horizontal="center" vertical="center"/>
    </xf>
    <xf numFmtId="0" fontId="80" fillId="0" borderId="0" xfId="0" applyFont="1" applyFill="1"/>
    <xf numFmtId="0" fontId="83" fillId="0" borderId="0" xfId="0" applyFont="1" applyFill="1" applyAlignment="1">
      <alignment horizontal="justify" vertical="top"/>
    </xf>
    <xf numFmtId="37" fontId="79" fillId="0" borderId="0" xfId="0" applyNumberFormat="1" applyFont="1" applyFill="1" applyAlignment="1">
      <alignment vertical="top"/>
    </xf>
    <xf numFmtId="0" fontId="84" fillId="0" borderId="0" xfId="0" quotePrefix="1" applyNumberFormat="1" applyFont="1" applyFill="1" applyAlignment="1">
      <alignment horizontal="left" indent="1"/>
    </xf>
    <xf numFmtId="43" fontId="83" fillId="0" borderId="0" xfId="1" applyFont="1" applyFill="1" applyAlignment="1">
      <alignment vertical="center"/>
    </xf>
    <xf numFmtId="0" fontId="80" fillId="0" borderId="0" xfId="0" quotePrefix="1" applyNumberFormat="1" applyFont="1" applyFill="1" applyBorder="1" applyAlignment="1">
      <alignment horizontal="left" indent="1"/>
    </xf>
    <xf numFmtId="166" fontId="80" fillId="0" borderId="0" xfId="0" quotePrefix="1" applyNumberFormat="1" applyFont="1" applyFill="1" applyBorder="1" applyAlignment="1"/>
    <xf numFmtId="37" fontId="83" fillId="0" borderId="0" xfId="0" applyNumberFormat="1" applyFont="1" applyFill="1" applyBorder="1" applyAlignment="1">
      <alignment vertical="top"/>
    </xf>
    <xf numFmtId="37" fontId="83" fillId="0" borderId="0" xfId="0" applyNumberFormat="1" applyFont="1" applyFill="1" applyBorder="1" applyAlignment="1">
      <alignment horizontal="justify" vertical="top"/>
    </xf>
    <xf numFmtId="0" fontId="83" fillId="0" borderId="0" xfId="0" applyFont="1" applyFill="1" applyBorder="1" applyAlignment="1">
      <alignment horizontal="justify" vertical="top"/>
    </xf>
    <xf numFmtId="0" fontId="80" fillId="0" borderId="0" xfId="0" quotePrefix="1" applyNumberFormat="1" applyFont="1" applyFill="1" applyBorder="1" applyAlignment="1">
      <alignment horizontal="left" indent="2"/>
    </xf>
    <xf numFmtId="43" fontId="83" fillId="0" borderId="0" xfId="1" applyFont="1" applyFill="1" applyBorder="1" applyAlignment="1">
      <alignment vertical="center"/>
    </xf>
    <xf numFmtId="166" fontId="80" fillId="0" borderId="4" xfId="0" quotePrefix="1" applyNumberFormat="1" applyFont="1" applyFill="1" applyBorder="1" applyAlignment="1"/>
    <xf numFmtId="0" fontId="83" fillId="0" borderId="0" xfId="0" quotePrefix="1" applyNumberFormat="1" applyFont="1" applyFill="1" applyAlignment="1">
      <alignment horizontal="left" vertical="center"/>
    </xf>
    <xf numFmtId="166" fontId="80" fillId="0" borderId="5" xfId="0" quotePrefix="1" applyNumberFormat="1" applyFont="1" applyFill="1" applyBorder="1" applyAlignment="1">
      <alignment vertical="center"/>
    </xf>
    <xf numFmtId="37" fontId="80" fillId="0" borderId="0" xfId="0" quotePrefix="1" applyNumberFormat="1" applyFont="1" applyFill="1" applyAlignment="1"/>
    <xf numFmtId="166" fontId="80" fillId="0" borderId="5" xfId="0" quotePrefix="1" applyNumberFormat="1" applyFont="1" applyFill="1" applyBorder="1" applyAlignment="1"/>
    <xf numFmtId="166" fontId="80" fillId="0" borderId="7" xfId="0" quotePrefix="1" applyNumberFormat="1" applyFont="1" applyFill="1" applyBorder="1" applyAlignment="1"/>
    <xf numFmtId="0" fontId="85" fillId="0" borderId="0" xfId="0" quotePrefix="1" applyNumberFormat="1" applyFont="1" applyFill="1" applyAlignment="1">
      <alignment horizontal="left"/>
    </xf>
    <xf numFmtId="0" fontId="86" fillId="0" borderId="0" xfId="0" quotePrefix="1" applyNumberFormat="1" applyFont="1" applyFill="1" applyAlignment="1"/>
    <xf numFmtId="0" fontId="85" fillId="0" borderId="0" xfId="0" quotePrefix="1" applyNumberFormat="1" applyFont="1" applyFill="1" applyAlignment="1"/>
    <xf numFmtId="166" fontId="85" fillId="0" borderId="0" xfId="0" quotePrefix="1" applyNumberFormat="1" applyFont="1" applyFill="1" applyBorder="1" applyAlignment="1"/>
    <xf numFmtId="166" fontId="85" fillId="0" borderId="0" xfId="0" quotePrefix="1" applyNumberFormat="1" applyFont="1" applyFill="1" applyAlignment="1"/>
    <xf numFmtId="165" fontId="87" fillId="0" borderId="0" xfId="0" applyNumberFormat="1" applyFont="1" applyFill="1" applyAlignment="1">
      <alignment vertical="center"/>
    </xf>
    <xf numFmtId="0" fontId="85" fillId="0" borderId="0" xfId="0" applyFont="1" applyFill="1"/>
    <xf numFmtId="37" fontId="73" fillId="0" borderId="0" xfId="0" quotePrefix="1" applyNumberFormat="1" applyFont="1" applyFill="1" applyAlignment="1"/>
    <xf numFmtId="165" fontId="9" fillId="0" borderId="0" xfId="0" applyNumberFormat="1" applyFont="1" applyFill="1" applyAlignment="1">
      <alignment vertical="center"/>
    </xf>
    <xf numFmtId="165" fontId="78" fillId="0" borderId="0" xfId="0" applyNumberFormat="1" applyFont="1" applyFill="1" applyAlignment="1">
      <alignment vertical="center"/>
    </xf>
    <xf numFmtId="173" fontId="9" fillId="0" borderId="0" xfId="0" applyNumberFormat="1" applyFont="1" applyFill="1"/>
    <xf numFmtId="1" fontId="9" fillId="0" borderId="0" xfId="0" applyNumberFormat="1" applyFont="1" applyFill="1" applyAlignment="1">
      <alignment horizontal="center" vertical="top"/>
    </xf>
    <xf numFmtId="37" fontId="9" fillId="0" borderId="0" xfId="0" quotePrefix="1" applyNumberFormat="1" applyFont="1" applyFill="1" applyAlignment="1">
      <alignment wrapText="1"/>
    </xf>
    <xf numFmtId="37" fontId="9" fillId="0" borderId="0" xfId="0" quotePrefix="1" applyNumberFormat="1" applyFont="1" applyFill="1" applyAlignment="1"/>
    <xf numFmtId="166" fontId="73" fillId="0" borderId="0" xfId="0" applyNumberFormat="1" applyFont="1" applyFill="1" applyAlignment="1">
      <alignment horizontal="right" vertical="top"/>
    </xf>
    <xf numFmtId="166" fontId="9" fillId="0" borderId="0" xfId="0" applyNumberFormat="1" applyFont="1" applyFill="1" applyAlignment="1">
      <alignment horizontal="right" vertical="top"/>
    </xf>
    <xf numFmtId="166" fontId="73" fillId="0" borderId="0" xfId="1" applyNumberFormat="1" applyFont="1" applyFill="1" applyAlignment="1">
      <alignment horizontal="right" vertical="top"/>
    </xf>
    <xf numFmtId="166" fontId="9" fillId="0" borderId="0" xfId="1" applyNumberFormat="1" applyFont="1" applyFill="1" applyAlignment="1">
      <alignment horizontal="right" vertical="top"/>
    </xf>
    <xf numFmtId="0" fontId="9" fillId="0" borderId="0" xfId="0" applyFont="1" applyFill="1" applyAlignment="1">
      <alignment horizontal="left"/>
    </xf>
    <xf numFmtId="166" fontId="73" fillId="0" borderId="0" xfId="1" applyNumberFormat="1" applyFont="1" applyFill="1" applyAlignment="1">
      <alignment horizontal="right"/>
    </xf>
    <xf numFmtId="0" fontId="9" fillId="0" borderId="0" xfId="0" applyFont="1" applyFill="1" applyAlignment="1">
      <alignment horizontal="left" vertical="top"/>
    </xf>
    <xf numFmtId="0" fontId="73" fillId="0" borderId="0" xfId="0" quotePrefix="1" applyNumberFormat="1" applyFont="1" applyFill="1" applyAlignment="1">
      <alignment horizontal="left" vertical="center"/>
    </xf>
    <xf numFmtId="0" fontId="9" fillId="0" borderId="0" xfId="0" applyFont="1" applyFill="1" applyAlignment="1">
      <alignment horizontal="justify" vertical="center"/>
    </xf>
    <xf numFmtId="37" fontId="9" fillId="0" borderId="0" xfId="0" quotePrefix="1" applyNumberFormat="1" applyFont="1" applyFill="1" applyAlignment="1">
      <alignment horizontal="justify" vertical="center" wrapText="1"/>
    </xf>
    <xf numFmtId="166" fontId="73" fillId="0" borderId="5" xfId="1" applyNumberFormat="1" applyFont="1" applyFill="1" applyBorder="1" applyAlignment="1">
      <alignment horizontal="right" vertical="center"/>
    </xf>
    <xf numFmtId="166" fontId="9" fillId="0" borderId="0" xfId="1" applyNumberFormat="1" applyFont="1" applyFill="1" applyAlignment="1">
      <alignment horizontal="right" vertical="center"/>
    </xf>
    <xf numFmtId="166" fontId="9" fillId="0" borderId="5" xfId="1" applyNumberFormat="1" applyFont="1" applyFill="1" applyBorder="1" applyAlignment="1">
      <alignment horizontal="right" vertical="center"/>
    </xf>
    <xf numFmtId="2" fontId="9" fillId="0" borderId="0" xfId="0" applyNumberFormat="1" applyFont="1" applyFill="1"/>
    <xf numFmtId="0" fontId="9" fillId="0" borderId="0" xfId="0" applyFont="1" applyFill="1" applyAlignment="1"/>
    <xf numFmtId="168" fontId="73" fillId="0" borderId="0" xfId="0" applyNumberFormat="1" applyFont="1" applyFill="1" applyAlignment="1">
      <alignment horizontal="right" vertical="top"/>
    </xf>
    <xf numFmtId="2" fontId="9" fillId="0" borderId="0" xfId="0" applyNumberFormat="1" applyFont="1" applyFill="1" applyAlignment="1">
      <alignment horizontal="right"/>
    </xf>
    <xf numFmtId="2" fontId="9" fillId="0" borderId="0" xfId="0" applyNumberFormat="1" applyFont="1" applyFill="1" applyAlignment="1">
      <alignment horizontal="right" vertical="top"/>
    </xf>
    <xf numFmtId="2" fontId="9" fillId="0" borderId="0" xfId="0" quotePrefix="1" applyNumberFormat="1" applyFont="1" applyFill="1" applyAlignment="1">
      <alignment horizontal="right" vertical="top"/>
    </xf>
    <xf numFmtId="2" fontId="73" fillId="0" borderId="0" xfId="0" applyNumberFormat="1" applyFont="1" applyFill="1" applyAlignment="1">
      <alignment horizontal="right" vertical="top"/>
    </xf>
    <xf numFmtId="0" fontId="9" fillId="0" borderId="0" xfId="0" quotePrefix="1" applyNumberFormat="1" applyFont="1" applyFill="1" applyAlignment="1">
      <alignment horizontal="left" vertical="center"/>
    </xf>
    <xf numFmtId="1" fontId="73" fillId="0" borderId="5" xfId="0" applyNumberFormat="1" applyFont="1" applyFill="1" applyBorder="1" applyAlignment="1">
      <alignment horizontal="right" vertical="center"/>
    </xf>
    <xf numFmtId="1" fontId="9" fillId="0" borderId="0" xfId="0" applyNumberFormat="1" applyFont="1" applyFill="1" applyAlignment="1">
      <alignment horizontal="right" vertical="center"/>
    </xf>
    <xf numFmtId="1" fontId="9" fillId="0" borderId="5" xfId="0" applyNumberFormat="1" applyFont="1" applyFill="1" applyBorder="1" applyAlignment="1">
      <alignment horizontal="right" vertical="center"/>
    </xf>
    <xf numFmtId="2" fontId="9" fillId="0" borderId="0" xfId="0" applyNumberFormat="1" applyFont="1" applyFill="1" applyAlignment="1">
      <alignment vertical="center"/>
    </xf>
    <xf numFmtId="0" fontId="9" fillId="0" borderId="0" xfId="0" quotePrefix="1" applyNumberFormat="1" applyFont="1" applyFill="1" applyAlignment="1">
      <alignment horizontal="left"/>
    </xf>
    <xf numFmtId="0" fontId="72" fillId="0" borderId="0" xfId="0" applyFont="1" applyFill="1" applyAlignment="1">
      <alignment vertical="top" wrapText="1"/>
    </xf>
    <xf numFmtId="15" fontId="73" fillId="0" borderId="0" xfId="0" quotePrefix="1" applyNumberFormat="1" applyFont="1" applyFill="1" applyAlignment="1">
      <alignment horizontal="center" vertical="top"/>
    </xf>
    <xf numFmtId="15" fontId="73" fillId="0" borderId="0" xfId="0" quotePrefix="1" applyNumberFormat="1" applyFont="1" applyFill="1" applyAlignment="1">
      <alignment horizontal="center" vertical="top" wrapText="1"/>
    </xf>
    <xf numFmtId="0" fontId="9" fillId="0" borderId="0" xfId="0" applyFont="1" applyFill="1" applyAlignment="1">
      <alignment horizontal="center" wrapText="1"/>
    </xf>
    <xf numFmtId="166" fontId="9" fillId="0" borderId="0" xfId="1" applyNumberFormat="1" applyFont="1" applyFill="1" applyAlignment="1"/>
    <xf numFmtId="15" fontId="9" fillId="0" borderId="0" xfId="0" quotePrefix="1" applyNumberFormat="1" applyFont="1" applyFill="1" applyAlignment="1">
      <alignment horizontal="center" vertical="top" wrapText="1"/>
    </xf>
    <xf numFmtId="166" fontId="73" fillId="0" borderId="0" xfId="0" applyNumberFormat="1" applyFont="1" applyFill="1" applyAlignment="1">
      <alignment horizontal="center"/>
    </xf>
    <xf numFmtId="9" fontId="9" fillId="0" borderId="0" xfId="0" applyNumberFormat="1" applyFont="1" applyFill="1" applyAlignment="1">
      <alignment horizontal="center"/>
    </xf>
    <xf numFmtId="168" fontId="73" fillId="0" borderId="0" xfId="0" applyNumberFormat="1" applyFont="1" applyFill="1" applyAlignment="1">
      <alignment horizontal="right"/>
    </xf>
    <xf numFmtId="2" fontId="9" fillId="0" borderId="0" xfId="0" applyNumberFormat="1" applyFont="1" applyFill="1" applyAlignment="1">
      <alignment horizontal="right"/>
    </xf>
    <xf numFmtId="2" fontId="73" fillId="0" borderId="0" xfId="0" applyNumberFormat="1" applyFont="1" applyFill="1" applyAlignment="1">
      <alignment horizontal="right"/>
    </xf>
    <xf numFmtId="9" fontId="9" fillId="0" borderId="0" xfId="0" applyNumberFormat="1" applyFont="1" applyFill="1" applyAlignment="1">
      <alignment horizontal="center" vertical="center"/>
    </xf>
    <xf numFmtId="166" fontId="9" fillId="0" borderId="0" xfId="1" applyNumberFormat="1" applyFont="1" applyFill="1" applyAlignment="1">
      <alignment vertical="center"/>
    </xf>
    <xf numFmtId="0" fontId="9" fillId="0" borderId="0" xfId="0" quotePrefix="1" applyFont="1" applyFill="1" applyAlignment="1">
      <alignment horizontal="left" vertical="center" wrapText="1"/>
    </xf>
    <xf numFmtId="0" fontId="73" fillId="0" borderId="0" xfId="0" applyFont="1" applyFill="1"/>
    <xf numFmtId="168" fontId="73" fillId="0" borderId="0" xfId="0" applyNumberFormat="1" applyFont="1" applyFill="1" applyAlignment="1">
      <alignment horizontal="left"/>
    </xf>
    <xf numFmtId="0" fontId="86" fillId="0" borderId="0" xfId="0" quotePrefix="1" applyNumberFormat="1" applyFont="1" applyFill="1" applyAlignment="1">
      <alignment horizontal="left"/>
    </xf>
    <xf numFmtId="37" fontId="85" fillId="0" borderId="0" xfId="0" quotePrefix="1" applyNumberFormat="1" applyFont="1" applyFill="1" applyAlignment="1"/>
    <xf numFmtId="165" fontId="85" fillId="0" borderId="0" xfId="0" applyNumberFormat="1" applyFont="1" applyFill="1" applyAlignment="1">
      <alignment vertical="center"/>
    </xf>
    <xf numFmtId="0" fontId="85" fillId="0" borderId="0" xfId="0" applyFont="1" applyFill="1" applyAlignment="1"/>
    <xf numFmtId="0" fontId="85" fillId="0" borderId="0" xfId="0" applyFont="1" applyFill="1" applyBorder="1" applyAlignment="1">
      <alignment horizontal="center" vertical="center" wrapText="1"/>
    </xf>
    <xf numFmtId="166" fontId="85" fillId="0" borderId="0" xfId="0" applyNumberFormat="1" applyFont="1" applyFill="1" applyAlignment="1">
      <alignment vertical="center"/>
    </xf>
    <xf numFmtId="166" fontId="85" fillId="0" borderId="5" xfId="0" applyNumberFormat="1" applyFont="1" applyFill="1" applyBorder="1" applyAlignment="1">
      <alignment vertical="center"/>
    </xf>
    <xf numFmtId="166" fontId="85" fillId="0" borderId="0" xfId="0" applyNumberFormat="1" applyFont="1" applyFill="1" applyAlignment="1">
      <alignment vertical="center"/>
    </xf>
    <xf numFmtId="166" fontId="85" fillId="0" borderId="0" xfId="0" applyNumberFormat="1" applyFont="1" applyFill="1" applyBorder="1" applyAlignment="1">
      <alignment vertical="center"/>
    </xf>
    <xf numFmtId="166" fontId="85" fillId="0" borderId="0" xfId="0" applyNumberFormat="1" applyFont="1" applyFill="1" applyAlignment="1"/>
    <xf numFmtId="37" fontId="85" fillId="0" borderId="0" xfId="0" quotePrefix="1" applyNumberFormat="1" applyFont="1" applyFill="1" applyAlignment="1">
      <alignment horizontal="left" indent="1"/>
    </xf>
    <xf numFmtId="168" fontId="73" fillId="0" borderId="0" xfId="0" quotePrefix="1" applyNumberFormat="1" applyFont="1" applyFill="1" applyAlignment="1">
      <alignment horizontal="left"/>
    </xf>
    <xf numFmtId="37" fontId="86" fillId="0" borderId="0" xfId="0" quotePrefix="1" applyNumberFormat="1" applyFont="1" applyFill="1" applyAlignment="1"/>
    <xf numFmtId="165" fontId="85" fillId="0" borderId="0" xfId="0" applyNumberFormat="1" applyFont="1" applyFill="1" applyBorder="1" applyAlignment="1">
      <alignment vertical="center"/>
    </xf>
    <xf numFmtId="166" fontId="86" fillId="0" borderId="0" xfId="0" applyNumberFormat="1" applyFont="1" applyFill="1" applyBorder="1" applyAlignment="1">
      <alignment vertical="center"/>
    </xf>
    <xf numFmtId="166" fontId="73" fillId="0" borderId="0" xfId="0" applyNumberFormat="1" applyFont="1" applyFill="1" applyBorder="1" applyAlignment="1">
      <alignment vertical="center"/>
    </xf>
    <xf numFmtId="0" fontId="74" fillId="0" borderId="0" xfId="0" quotePrefix="1" applyFont="1" applyFill="1" applyAlignment="1">
      <alignment horizontal="center" vertical="top"/>
    </xf>
    <xf numFmtId="0" fontId="9" fillId="0" borderId="0" xfId="0" applyFont="1" applyFill="1" applyAlignment="1">
      <alignment horizontal="justify" vertical="top"/>
    </xf>
    <xf numFmtId="0" fontId="9" fillId="0" borderId="0" xfId="0" quotePrefix="1" applyFont="1" applyFill="1" applyAlignment="1">
      <alignment horizontal="justify" vertical="top"/>
    </xf>
    <xf numFmtId="166" fontId="73" fillId="0" borderId="0" xfId="0" applyNumberFormat="1" applyFont="1" applyFill="1" applyBorder="1" applyAlignment="1">
      <alignment horizontal="center" vertical="center"/>
    </xf>
    <xf numFmtId="165" fontId="9" fillId="0" borderId="0" xfId="0" applyNumberFormat="1" applyFont="1" applyFill="1" applyAlignment="1">
      <alignment horizontal="center" vertical="center"/>
    </xf>
    <xf numFmtId="165" fontId="73" fillId="0" borderId="0" xfId="0" applyNumberFormat="1" applyFont="1" applyFill="1" applyAlignment="1">
      <alignment vertical="top"/>
    </xf>
    <xf numFmtId="43" fontId="9" fillId="0" borderId="0" xfId="1" applyFont="1" applyFill="1" applyAlignment="1"/>
    <xf numFmtId="165" fontId="74" fillId="0" borderId="0" xfId="0" applyNumberFormat="1" applyFont="1" applyFill="1" applyAlignment="1">
      <alignment vertical="top"/>
    </xf>
    <xf numFmtId="0" fontId="9" fillId="0" borderId="0" xfId="0" applyFont="1" applyFill="1"/>
    <xf numFmtId="165" fontId="74" fillId="0" borderId="0" xfId="0" quotePrefix="1" applyNumberFormat="1" applyFont="1" applyFill="1" applyAlignment="1">
      <alignment vertical="top"/>
    </xf>
    <xf numFmtId="166" fontId="9" fillId="0" borderId="0" xfId="0" applyNumberFormat="1" applyFont="1" applyFill="1" applyAlignment="1">
      <alignment vertical="center"/>
    </xf>
    <xf numFmtId="166" fontId="9" fillId="0" borderId="0" xfId="0" applyNumberFormat="1" applyFont="1" applyFill="1" applyBorder="1" applyAlignment="1">
      <alignment vertical="center"/>
    </xf>
    <xf numFmtId="166" fontId="9" fillId="0" borderId="0" xfId="0" applyNumberFormat="1" applyFont="1" applyFill="1" applyAlignment="1"/>
    <xf numFmtId="166" fontId="73" fillId="0" borderId="5" xfId="0" applyNumberFormat="1" applyFont="1" applyFill="1" applyBorder="1" applyAlignment="1">
      <alignment vertical="center"/>
    </xf>
    <xf numFmtId="166" fontId="73" fillId="0" borderId="0" xfId="0" applyNumberFormat="1" applyFont="1" applyFill="1" applyAlignment="1">
      <alignment vertical="center"/>
    </xf>
    <xf numFmtId="166" fontId="73" fillId="0" borderId="0" xfId="0" applyNumberFormat="1" applyFont="1" applyFill="1" applyAlignment="1"/>
    <xf numFmtId="0" fontId="9" fillId="0" borderId="0" xfId="0" applyNumberFormat="1" applyFont="1" applyFill="1" applyAlignment="1"/>
    <xf numFmtId="166" fontId="9" fillId="0" borderId="5" xfId="0" applyNumberFormat="1" applyFont="1" applyFill="1" applyBorder="1" applyAlignment="1">
      <alignment vertical="center"/>
    </xf>
    <xf numFmtId="165" fontId="73" fillId="0" borderId="0" xfId="0" applyNumberFormat="1" applyFont="1" applyFill="1" applyAlignment="1"/>
    <xf numFmtId="0" fontId="73" fillId="0" borderId="0" xfId="0" quotePrefix="1" applyFont="1" applyFill="1"/>
    <xf numFmtId="0" fontId="73" fillId="0" borderId="0" xfId="0" applyFont="1" applyFill="1" applyAlignment="1">
      <alignment vertical="center"/>
    </xf>
    <xf numFmtId="41" fontId="9" fillId="0" borderId="0" xfId="0" applyNumberFormat="1" applyFont="1" applyFill="1" applyAlignment="1">
      <alignment vertical="top"/>
    </xf>
    <xf numFmtId="166" fontId="73" fillId="0" borderId="0" xfId="0" applyNumberFormat="1" applyFont="1" applyFill="1" applyAlignment="1">
      <alignment vertical="top"/>
    </xf>
    <xf numFmtId="41" fontId="9" fillId="0" borderId="0" xfId="0" applyNumberFormat="1" applyFont="1" applyFill="1" applyAlignment="1">
      <alignment vertical="top"/>
    </xf>
    <xf numFmtId="166" fontId="73" fillId="0" borderId="5" xfId="0" applyNumberFormat="1" applyFont="1" applyFill="1" applyBorder="1" applyAlignment="1">
      <alignment vertical="center"/>
    </xf>
    <xf numFmtId="166" fontId="9" fillId="0" borderId="0" xfId="0" applyNumberFormat="1" applyFont="1" applyFill="1" applyAlignment="1">
      <alignment vertical="top"/>
    </xf>
    <xf numFmtId="0" fontId="73" fillId="0" borderId="0" xfId="0" applyFont="1" applyFill="1" applyAlignment="1">
      <alignment vertical="top"/>
    </xf>
    <xf numFmtId="166" fontId="73" fillId="0" borderId="0" xfId="0" applyNumberFormat="1" applyFont="1" applyFill="1" applyBorder="1" applyAlignment="1">
      <alignment vertical="center"/>
    </xf>
    <xf numFmtId="43" fontId="9" fillId="0" borderId="0" xfId="0" applyNumberFormat="1" applyFont="1" applyFill="1"/>
    <xf numFmtId="1" fontId="73" fillId="0" borderId="0" xfId="0" quotePrefix="1" applyNumberFormat="1" applyFont="1" applyFill="1" applyAlignment="1">
      <alignment horizontal="left"/>
    </xf>
    <xf numFmtId="0" fontId="73" fillId="0" borderId="0" xfId="0" applyFont="1" applyFill="1"/>
    <xf numFmtId="0" fontId="74" fillId="0" borderId="0" xfId="0" quotePrefix="1" applyFont="1" applyFill="1" applyAlignment="1"/>
    <xf numFmtId="0" fontId="73" fillId="0" borderId="0" xfId="0" quotePrefix="1" applyNumberFormat="1" applyFont="1" applyFill="1" applyAlignment="1">
      <alignment horizontal="left"/>
    </xf>
    <xf numFmtId="0" fontId="74" fillId="0" borderId="0" xfId="0" applyFont="1" applyFill="1"/>
    <xf numFmtId="0" fontId="73" fillId="0" borderId="0" xfId="0" quotePrefix="1" applyNumberFormat="1" applyFont="1" applyFill="1" applyAlignment="1">
      <alignment horizontal="left"/>
    </xf>
    <xf numFmtId="0" fontId="73" fillId="0" borderId="0" xfId="0" applyFont="1" applyFill="1" applyAlignment="1"/>
    <xf numFmtId="0" fontId="9" fillId="0" borderId="0" xfId="0" applyFont="1" applyFill="1" applyAlignment="1"/>
    <xf numFmtId="0" fontId="73" fillId="0" borderId="0" xfId="0" applyFont="1" applyFill="1" applyBorder="1" applyAlignment="1">
      <alignment horizontal="center"/>
    </xf>
    <xf numFmtId="0" fontId="73" fillId="0" borderId="0" xfId="0" applyFont="1" applyFill="1" applyAlignment="1">
      <alignment horizontal="center" wrapText="1"/>
    </xf>
    <xf numFmtId="10" fontId="73" fillId="0" borderId="0" xfId="0" applyNumberFormat="1" applyFont="1" applyFill="1" applyBorder="1" applyAlignment="1">
      <alignment horizontal="center"/>
    </xf>
    <xf numFmtId="166" fontId="9" fillId="0" borderId="0" xfId="0" applyNumberFormat="1" applyFont="1" applyFill="1"/>
    <xf numFmtId="0" fontId="73" fillId="0" borderId="0" xfId="0" quotePrefix="1" applyFont="1" applyFill="1" applyAlignment="1">
      <alignment horizontal="left"/>
    </xf>
    <xf numFmtId="10" fontId="9" fillId="0" borderId="0" xfId="0" applyNumberFormat="1" applyFont="1" applyFill="1" applyAlignment="1">
      <alignment horizontal="center"/>
    </xf>
    <xf numFmtId="43" fontId="9" fillId="0" borderId="0" xfId="1" applyFont="1" applyFill="1" applyAlignment="1">
      <alignment vertical="center"/>
    </xf>
    <xf numFmtId="0" fontId="78" fillId="0" borderId="0" xfId="0" applyFont="1" applyFill="1" applyAlignment="1">
      <alignment vertical="center"/>
    </xf>
    <xf numFmtId="2" fontId="9" fillId="0" borderId="0" xfId="0" applyNumberFormat="1" applyFont="1" applyFill="1" applyAlignment="1">
      <alignment horizontal="left" vertical="top"/>
    </xf>
    <xf numFmtId="10" fontId="9" fillId="0" borderId="0" xfId="0" applyNumberFormat="1" applyFont="1" applyFill="1"/>
    <xf numFmtId="165" fontId="9" fillId="0" borderId="0" xfId="0" applyNumberFormat="1" applyFont="1" applyFill="1" applyAlignment="1">
      <alignment horizontal="left" vertical="center"/>
    </xf>
    <xf numFmtId="2" fontId="9" fillId="0" borderId="0" xfId="0" applyNumberFormat="1" applyFont="1" applyFill="1" applyAlignment="1">
      <alignment horizontal="left" vertical="center"/>
    </xf>
    <xf numFmtId="166" fontId="9" fillId="0" borderId="0" xfId="0" applyNumberFormat="1" applyFont="1" applyFill="1" applyAlignment="1">
      <alignment vertical="center"/>
    </xf>
    <xf numFmtId="0" fontId="73" fillId="0" borderId="0" xfId="0" applyFont="1" applyFill="1" applyAlignment="1"/>
    <xf numFmtId="0" fontId="73" fillId="0" borderId="0" xfId="0" applyFont="1" applyFill="1" applyAlignment="1">
      <alignment horizontal="right"/>
    </xf>
    <xf numFmtId="49" fontId="85" fillId="0" borderId="0" xfId="0" applyNumberFormat="1" applyFont="1" applyFill="1" applyAlignment="1">
      <alignment horizontal="left"/>
    </xf>
    <xf numFmtId="49" fontId="88" fillId="0" borderId="0" xfId="0" applyNumberFormat="1" applyFont="1" applyFill="1" applyAlignment="1">
      <alignment horizontal="left"/>
    </xf>
    <xf numFmtId="10" fontId="9" fillId="0" borderId="0" xfId="0" applyNumberFormat="1" applyFont="1" applyFill="1" applyAlignment="1"/>
    <xf numFmtId="0" fontId="77" fillId="0" borderId="0" xfId="0" applyFont="1" applyFill="1" applyAlignment="1"/>
    <xf numFmtId="166" fontId="73" fillId="0" borderId="0" xfId="0" applyNumberFormat="1" applyFont="1" applyFill="1" applyAlignment="1">
      <alignment horizontal="center" vertical="center"/>
    </xf>
    <xf numFmtId="43" fontId="9" fillId="0" borderId="0" xfId="0" applyNumberFormat="1" applyFont="1" applyFill="1" applyAlignment="1">
      <alignment vertical="center"/>
    </xf>
    <xf numFmtId="10" fontId="9" fillId="0" borderId="0" xfId="0" applyNumberFormat="1" applyFont="1" applyFill="1" applyAlignment="1">
      <alignment vertical="center"/>
    </xf>
    <xf numFmtId="165" fontId="9" fillId="0" borderId="0" xfId="0" applyNumberFormat="1" applyFont="1" applyFill="1" applyAlignment="1">
      <alignment vertical="center" wrapText="1"/>
    </xf>
    <xf numFmtId="43" fontId="9" fillId="0" borderId="0" xfId="0" applyNumberFormat="1" applyFont="1" applyFill="1" applyAlignment="1"/>
    <xf numFmtId="166" fontId="78" fillId="0" borderId="0" xfId="0" applyNumberFormat="1" applyFont="1" applyFill="1" applyAlignment="1">
      <alignment vertical="center"/>
    </xf>
    <xf numFmtId="43" fontId="78" fillId="0" borderId="0" xfId="1" applyFont="1" applyFill="1" applyAlignment="1">
      <alignment vertical="center"/>
    </xf>
    <xf numFmtId="37" fontId="89" fillId="0" borderId="0" xfId="0" quotePrefix="1" applyNumberFormat="1" applyFont="1" applyFill="1" applyAlignment="1"/>
    <xf numFmtId="1" fontId="73" fillId="0" borderId="0" xfId="0" quotePrefix="1" applyNumberFormat="1" applyFont="1" applyFill="1" applyAlignment="1">
      <alignment horizontal="left"/>
    </xf>
    <xf numFmtId="165" fontId="9" fillId="0" borderId="0" xfId="0" applyNumberFormat="1" applyFont="1" applyFill="1" applyAlignment="1">
      <alignment horizontal="justify" vertical="top"/>
    </xf>
    <xf numFmtId="0" fontId="73" fillId="0" borderId="0" xfId="0" applyNumberFormat="1" applyFont="1" applyFill="1" applyAlignment="1">
      <alignment horizontal="center"/>
    </xf>
    <xf numFmtId="0" fontId="9" fillId="0" borderId="0" xfId="0" applyFont="1" applyFill="1" applyAlignment="1">
      <alignment horizontal="justify" vertical="top" wrapText="1"/>
    </xf>
    <xf numFmtId="0" fontId="9" fillId="0" borderId="0" xfId="0" applyNumberFormat="1" applyFont="1" applyFill="1" applyAlignment="1">
      <alignment horizontal="center"/>
    </xf>
    <xf numFmtId="0" fontId="9" fillId="0" borderId="0" xfId="0" applyFont="1" applyFill="1" applyAlignment="1">
      <alignment horizontal="left" indent="1"/>
    </xf>
    <xf numFmtId="166" fontId="73" fillId="0" borderId="0" xfId="0" applyNumberFormat="1" applyFont="1" applyFill="1"/>
    <xf numFmtId="166" fontId="9" fillId="0" borderId="0" xfId="0" applyNumberFormat="1" applyFont="1" applyFill="1"/>
    <xf numFmtId="0" fontId="9" fillId="0" borderId="0" xfId="0" applyFont="1" applyFill="1"/>
    <xf numFmtId="0" fontId="9" fillId="0" borderId="0" xfId="0" applyFont="1" applyFill="1" applyBorder="1"/>
    <xf numFmtId="166" fontId="9" fillId="0" borderId="0" xfId="0" applyNumberFormat="1" applyFont="1" applyFill="1" applyBorder="1"/>
    <xf numFmtId="0" fontId="9" fillId="0" borderId="0" xfId="0" applyFont="1" applyFill="1" applyAlignment="1">
      <alignment wrapText="1"/>
    </xf>
    <xf numFmtId="43" fontId="9" fillId="0" borderId="0" xfId="1" applyFont="1" applyFill="1" applyAlignment="1">
      <alignment vertical="top"/>
    </xf>
    <xf numFmtId="0" fontId="92" fillId="0" borderId="0" xfId="0" applyFont="1" applyFill="1"/>
    <xf numFmtId="49" fontId="73"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wrapText="1"/>
    </xf>
    <xf numFmtId="165" fontId="73" fillId="0" borderId="0" xfId="0" applyNumberFormat="1" applyFont="1" applyFill="1" applyAlignment="1"/>
    <xf numFmtId="0" fontId="9" fillId="0" borderId="0" xfId="0" applyNumberFormat="1" applyFont="1" applyFill="1" applyAlignment="1">
      <alignment horizontal="left" vertical="top" wrapText="1"/>
    </xf>
    <xf numFmtId="0" fontId="73" fillId="0" borderId="0" xfId="0" applyFont="1" applyFill="1" applyAlignment="1">
      <alignment horizontal="center" vertical="center"/>
    </xf>
    <xf numFmtId="0" fontId="9" fillId="0" borderId="0" xfId="0" applyNumberFormat="1" applyFont="1" applyFill="1" applyAlignment="1">
      <alignment horizontal="left" vertical="top"/>
    </xf>
    <xf numFmtId="166" fontId="73" fillId="0" borderId="7" xfId="0" applyNumberFormat="1" applyFont="1" applyFill="1" applyBorder="1" applyAlignment="1">
      <alignment horizontal="left" vertical="top" wrapText="1"/>
    </xf>
    <xf numFmtId="166" fontId="9" fillId="0" borderId="7" xfId="0" applyNumberFormat="1" applyFont="1" applyFill="1" applyBorder="1" applyAlignment="1">
      <alignment horizontal="left" vertical="top" wrapText="1"/>
    </xf>
    <xf numFmtId="10" fontId="9" fillId="0" borderId="0" xfId="3" applyNumberFormat="1" applyFont="1" applyFill="1"/>
    <xf numFmtId="0" fontId="74" fillId="0" borderId="0" xfId="0" applyFont="1"/>
    <xf numFmtId="166" fontId="9" fillId="0" borderId="0" xfId="0" applyNumberFormat="1" applyFont="1" applyFill="1" applyAlignment="1">
      <alignment horizontal="justify" wrapText="1"/>
    </xf>
    <xf numFmtId="0" fontId="9" fillId="0" borderId="0" xfId="0" applyFont="1" applyFill="1"/>
    <xf numFmtId="0" fontId="9" fillId="0" borderId="0" xfId="0" applyFont="1" applyFill="1" applyAlignment="1">
      <alignment vertical="top" wrapText="1"/>
    </xf>
    <xf numFmtId="0" fontId="73" fillId="0" borderId="0" xfId="0" quotePrefix="1" applyNumberFormat="1" applyFont="1" applyFill="1" applyAlignment="1"/>
    <xf numFmtId="0" fontId="73" fillId="0" borderId="0" xfId="0" applyNumberFormat="1" applyFont="1" applyFill="1" applyAlignment="1">
      <alignment vertical="top"/>
    </xf>
    <xf numFmtId="0" fontId="9" fillId="0" borderId="0" xfId="0" applyFont="1" applyFill="1"/>
    <xf numFmtId="0" fontId="73" fillId="0" borderId="0" xfId="0" quotePrefix="1" applyFont="1" applyFill="1" applyAlignment="1">
      <alignment horizontal="center" vertical="top" wrapText="1"/>
    </xf>
    <xf numFmtId="0" fontId="9" fillId="0" borderId="0" xfId="0" applyFont="1" applyFill="1" applyAlignment="1">
      <alignment horizontal="center" vertical="top"/>
    </xf>
    <xf numFmtId="0" fontId="9" fillId="0" borderId="0" xfId="0" quotePrefix="1" applyFont="1" applyFill="1" applyAlignment="1">
      <alignment horizontal="center" vertical="top" wrapText="1"/>
    </xf>
    <xf numFmtId="0" fontId="9" fillId="0" borderId="0" xfId="0" applyFont="1" applyFill="1" applyAlignment="1">
      <alignment vertical="top"/>
    </xf>
    <xf numFmtId="168" fontId="73" fillId="0" borderId="0" xfId="0" quotePrefix="1" applyNumberFormat="1" applyFont="1" applyFill="1" applyAlignment="1">
      <alignment horizontal="left"/>
    </xf>
    <xf numFmtId="0" fontId="73" fillId="0" borderId="0" xfId="0" quotePrefix="1" applyNumberFormat="1" applyFont="1" applyFill="1" applyAlignment="1"/>
    <xf numFmtId="0" fontId="73" fillId="0" borderId="0" xfId="0" quotePrefix="1" applyFont="1" applyFill="1" applyAlignment="1">
      <alignment vertical="top"/>
    </xf>
    <xf numFmtId="0" fontId="73" fillId="0" borderId="0" xfId="0" quotePrefix="1" applyFont="1" applyFill="1" applyAlignment="1">
      <alignment horizontal="right" vertical="top"/>
    </xf>
    <xf numFmtId="0" fontId="9" fillId="0" borderId="0" xfId="0" applyNumberFormat="1" applyFont="1" applyFill="1" applyBorder="1" applyAlignment="1">
      <alignment horizontal="left" vertical="top"/>
    </xf>
    <xf numFmtId="0" fontId="9" fillId="0" borderId="0" xfId="0" applyFont="1" applyFill="1" applyAlignment="1">
      <alignment vertical="center"/>
    </xf>
    <xf numFmtId="0" fontId="9" fillId="0" borderId="0" xfId="0" applyFont="1" applyFill="1" applyAlignment="1">
      <alignment horizontal="justify" wrapText="1"/>
    </xf>
    <xf numFmtId="0" fontId="72" fillId="0" borderId="0" xfId="0" applyNumberFormat="1" applyFont="1" applyFill="1" applyBorder="1" applyAlignment="1">
      <alignment horizontal="left" vertical="top" indent="1"/>
    </xf>
    <xf numFmtId="0" fontId="9" fillId="0" borderId="0" xfId="0" applyNumberFormat="1" applyFont="1" applyFill="1" applyBorder="1" applyAlignment="1">
      <alignment horizontal="left" vertical="top" indent="1"/>
    </xf>
    <xf numFmtId="0" fontId="9" fillId="0" borderId="0" xfId="0" applyNumberFormat="1" applyFont="1" applyFill="1" applyAlignment="1">
      <alignment horizontal="center" vertical="top" wrapText="1"/>
    </xf>
    <xf numFmtId="178" fontId="9" fillId="0" borderId="0" xfId="3" applyNumberFormat="1" applyFont="1" applyFill="1"/>
    <xf numFmtId="0" fontId="9" fillId="0" borderId="0" xfId="0" applyFont="1" applyFill="1" applyAlignment="1">
      <alignment vertical="top"/>
    </xf>
    <xf numFmtId="0" fontId="73" fillId="0" borderId="0" xfId="0" applyFont="1" applyFill="1" applyAlignment="1">
      <alignment horizontal="center" vertical="center" wrapText="1"/>
    </xf>
    <xf numFmtId="166" fontId="9" fillId="0" borderId="0" xfId="0" applyNumberFormat="1" applyFont="1" applyFill="1" applyAlignment="1">
      <alignment horizontal="left" vertical="top" wrapText="1"/>
    </xf>
    <xf numFmtId="10" fontId="9" fillId="0" borderId="0" xfId="3" applyNumberFormat="1" applyFont="1" applyFill="1" applyAlignment="1"/>
    <xf numFmtId="37" fontId="9" fillId="0" borderId="0" xfId="0" applyNumberFormat="1" applyFont="1" applyFill="1" applyAlignment="1" applyProtection="1">
      <alignment horizontal="left"/>
    </xf>
    <xf numFmtId="0" fontId="9" fillId="0" borderId="0" xfId="0" applyNumberFormat="1" applyFont="1" applyFill="1" applyBorder="1" applyAlignment="1">
      <alignment horizontal="center"/>
    </xf>
    <xf numFmtId="0" fontId="9" fillId="0" borderId="0" xfId="0" applyFont="1" applyFill="1" applyBorder="1" applyAlignment="1">
      <alignment horizontal="center"/>
    </xf>
    <xf numFmtId="166" fontId="9" fillId="0" borderId="0" xfId="0" applyNumberFormat="1" applyFont="1" applyFill="1" applyBorder="1"/>
    <xf numFmtId="37" fontId="73" fillId="0" borderId="0" xfId="0" applyNumberFormat="1" applyFont="1" applyFill="1" applyAlignment="1" applyProtection="1">
      <alignment horizontal="left"/>
    </xf>
    <xf numFmtId="0" fontId="73" fillId="0" borderId="0" xfId="0" applyNumberFormat="1" applyFont="1" applyFill="1" applyBorder="1" applyAlignment="1"/>
    <xf numFmtId="0" fontId="9" fillId="0" borderId="0" xfId="0" applyNumberFormat="1" applyFont="1" applyFill="1" applyBorder="1" applyAlignment="1">
      <alignment horizontal="left"/>
    </xf>
    <xf numFmtId="0" fontId="9" fillId="0" borderId="0" xfId="0" applyFont="1" applyFill="1" applyBorder="1" applyAlignment="1">
      <alignment horizontal="left"/>
    </xf>
    <xf numFmtId="166" fontId="9" fillId="0" borderId="0" xfId="0" applyNumberFormat="1" applyFont="1" applyFill="1" applyBorder="1" applyAlignment="1">
      <alignment horizontal="left"/>
    </xf>
    <xf numFmtId="0" fontId="9" fillId="0" borderId="0" xfId="0" applyNumberFormat="1" applyFont="1" applyFill="1" applyBorder="1" applyAlignment="1">
      <alignment wrapText="1"/>
    </xf>
    <xf numFmtId="165" fontId="9" fillId="0" borderId="0" xfId="0" applyNumberFormat="1" applyFont="1" applyFill="1" applyAlignment="1">
      <alignment vertical="top" wrapText="1"/>
    </xf>
    <xf numFmtId="166" fontId="9" fillId="0" borderId="0" xfId="0" applyNumberFormat="1" applyFont="1" applyFill="1"/>
    <xf numFmtId="166" fontId="9" fillId="0" borderId="0" xfId="0" applyNumberFormat="1" applyFont="1" applyFill="1" applyProtection="1"/>
    <xf numFmtId="43" fontId="9" fillId="0" borderId="0" xfId="1" applyFont="1" applyFill="1" applyAlignment="1" applyProtection="1">
      <alignment horizontal="center" vertical="top" wrapText="1"/>
    </xf>
    <xf numFmtId="166" fontId="9" fillId="0" borderId="0" xfId="0" applyNumberFormat="1" applyFont="1" applyFill="1" applyAlignment="1" applyProtection="1">
      <alignment horizontal="center" vertical="top" wrapText="1"/>
    </xf>
    <xf numFmtId="43" fontId="9" fillId="0" borderId="0" xfId="1" applyFont="1" applyFill="1" applyAlignment="1">
      <alignment horizontal="justify" vertical="top" wrapText="1"/>
    </xf>
    <xf numFmtId="43" fontId="9" fillId="0" borderId="0" xfId="0" applyNumberFormat="1" applyFont="1" applyFill="1" applyAlignment="1">
      <alignment horizontal="justify" vertical="top" wrapText="1"/>
    </xf>
    <xf numFmtId="165" fontId="9" fillId="0" borderId="0" xfId="0" applyNumberFormat="1" applyFont="1" applyFill="1" applyAlignment="1">
      <alignment horizontal="left" vertical="top"/>
    </xf>
    <xf numFmtId="173" fontId="9" fillId="0" borderId="0" xfId="0" applyNumberFormat="1" applyFont="1" applyFill="1" applyBorder="1" applyAlignment="1">
      <alignment vertical="top"/>
    </xf>
    <xf numFmtId="166" fontId="9" fillId="0" borderId="0" xfId="0" applyNumberFormat="1" applyFont="1" applyFill="1" applyBorder="1" applyAlignment="1">
      <alignment vertical="top"/>
    </xf>
    <xf numFmtId="0" fontId="9" fillId="0" borderId="0" xfId="0" quotePrefix="1" applyFont="1" applyFill="1" applyAlignment="1">
      <alignment horizontal="left" indent="1"/>
    </xf>
    <xf numFmtId="166" fontId="9" fillId="0" borderId="5" xfId="0" applyNumberFormat="1" applyFont="1" applyFill="1" applyBorder="1" applyAlignment="1">
      <alignment vertical="center"/>
    </xf>
    <xf numFmtId="16" fontId="73" fillId="2" borderId="0" xfId="0" quotePrefix="1" applyNumberFormat="1" applyFont="1" applyFill="1" applyAlignment="1">
      <alignment horizontal="center"/>
    </xf>
    <xf numFmtId="166" fontId="73" fillId="0" borderId="0" xfId="0" applyNumberFormat="1" applyFont="1" applyFill="1"/>
    <xf numFmtId="0" fontId="9" fillId="0" borderId="0" xfId="0" applyFont="1" applyFill="1" applyAlignment="1">
      <alignment horizontal="left" vertical="top" indent="1"/>
    </xf>
    <xf numFmtId="166" fontId="73" fillId="0" borderId="8" xfId="0" applyNumberFormat="1" applyFont="1" applyFill="1" applyBorder="1" applyAlignment="1">
      <alignment vertical="center"/>
    </xf>
    <xf numFmtId="166" fontId="9" fillId="0" borderId="8" xfId="0" applyNumberFormat="1" applyFont="1" applyFill="1" applyBorder="1" applyAlignment="1">
      <alignment vertical="center"/>
    </xf>
    <xf numFmtId="166" fontId="73" fillId="0" borderId="0" xfId="0" applyNumberFormat="1" applyFont="1" applyFill="1" applyAlignment="1"/>
    <xf numFmtId="0" fontId="9" fillId="2" borderId="41" xfId="0" applyFont="1" applyFill="1" applyBorder="1"/>
    <xf numFmtId="0" fontId="9" fillId="2" borderId="33" xfId="0" applyFont="1" applyFill="1" applyBorder="1"/>
    <xf numFmtId="0" fontId="9" fillId="2" borderId="42" xfId="0" applyFont="1" applyFill="1" applyBorder="1"/>
    <xf numFmtId="0" fontId="9" fillId="2" borderId="0" xfId="0" applyFont="1" applyFill="1" applyBorder="1"/>
    <xf numFmtId="0" fontId="73" fillId="2" borderId="14" xfId="0" applyFont="1" applyFill="1" applyBorder="1" applyAlignment="1"/>
    <xf numFmtId="166" fontId="73" fillId="2" borderId="8" xfId="0" applyNumberFormat="1" applyFont="1" applyFill="1" applyBorder="1" applyAlignment="1"/>
    <xf numFmtId="0" fontId="9" fillId="2" borderId="14" xfId="0" applyFont="1" applyFill="1" applyBorder="1"/>
    <xf numFmtId="166" fontId="73" fillId="2" borderId="15" xfId="0" applyNumberFormat="1" applyFont="1" applyFill="1" applyBorder="1" applyAlignment="1"/>
    <xf numFmtId="166" fontId="9" fillId="2" borderId="8" xfId="0" applyNumberFormat="1" applyFont="1" applyFill="1" applyBorder="1"/>
    <xf numFmtId="166" fontId="9" fillId="2" borderId="14" xfId="0" applyNumberFormat="1" applyFont="1" applyFill="1" applyBorder="1"/>
    <xf numFmtId="166" fontId="9" fillId="2" borderId="15" xfId="0" applyNumberFormat="1" applyFont="1" applyFill="1" applyBorder="1"/>
    <xf numFmtId="2" fontId="9" fillId="2" borderId="0" xfId="0" applyNumberFormat="1" applyFont="1" applyFill="1"/>
    <xf numFmtId="2" fontId="9" fillId="2" borderId="45" xfId="0" applyNumberFormat="1" applyFont="1" applyFill="1" applyBorder="1"/>
    <xf numFmtId="2" fontId="9" fillId="2" borderId="36" xfId="0" applyNumberFormat="1" applyFont="1" applyFill="1" applyBorder="1"/>
    <xf numFmtId="2" fontId="9" fillId="2" borderId="0" xfId="0" applyNumberFormat="1" applyFont="1" applyFill="1" applyBorder="1"/>
    <xf numFmtId="2" fontId="9" fillId="2" borderId="46" xfId="0" applyNumberFormat="1" applyFont="1" applyFill="1" applyBorder="1"/>
    <xf numFmtId="0" fontId="73" fillId="2" borderId="16" xfId="0" applyFont="1" applyFill="1" applyBorder="1" applyAlignment="1"/>
    <xf numFmtId="166" fontId="73" fillId="2" borderId="0" xfId="0" applyNumberFormat="1" applyFont="1" applyFill="1" applyBorder="1" applyAlignment="1"/>
    <xf numFmtId="0" fontId="9" fillId="2" borderId="16" xfId="0" applyFont="1" applyFill="1" applyBorder="1"/>
    <xf numFmtId="166" fontId="73" fillId="2" borderId="17" xfId="0" applyNumberFormat="1" applyFont="1" applyFill="1" applyBorder="1" applyAlignment="1"/>
    <xf numFmtId="166" fontId="9" fillId="2" borderId="0" xfId="0" applyNumberFormat="1" applyFont="1" applyFill="1" applyBorder="1"/>
    <xf numFmtId="166" fontId="9" fillId="2" borderId="16" xfId="0" applyNumberFormat="1" applyFont="1" applyFill="1" applyBorder="1"/>
    <xf numFmtId="166" fontId="9" fillId="2" borderId="17" xfId="0" applyNumberFormat="1" applyFont="1" applyFill="1" applyBorder="1"/>
    <xf numFmtId="2" fontId="9" fillId="2" borderId="17" xfId="0" applyNumberFormat="1" applyFont="1" applyFill="1" applyBorder="1"/>
    <xf numFmtId="16" fontId="9" fillId="2" borderId="0" xfId="0" quotePrefix="1" applyNumberFormat="1" applyFont="1" applyFill="1" applyAlignment="1">
      <alignment horizontal="center"/>
    </xf>
    <xf numFmtId="16" fontId="73" fillId="0" borderId="0" xfId="0" quotePrefix="1" applyNumberFormat="1" applyFont="1" applyFill="1" applyAlignment="1">
      <alignment vertical="top"/>
    </xf>
    <xf numFmtId="16" fontId="73" fillId="2" borderId="16" xfId="0" applyNumberFormat="1" applyFont="1" applyFill="1" applyBorder="1" applyAlignment="1">
      <alignment vertical="center" wrapText="1"/>
    </xf>
    <xf numFmtId="166" fontId="73" fillId="2" borderId="0" xfId="0" applyNumberFormat="1" applyFont="1" applyFill="1" applyBorder="1" applyAlignment="1">
      <alignment horizontal="center" wrapText="1"/>
    </xf>
    <xf numFmtId="0" fontId="9" fillId="2" borderId="17" xfId="0" applyFont="1" applyFill="1" applyBorder="1"/>
    <xf numFmtId="0" fontId="73" fillId="0" borderId="0" xfId="0" quotePrefix="1" applyNumberFormat="1" applyFont="1" applyFill="1" applyAlignment="1">
      <alignment horizontal="center" vertical="center"/>
    </xf>
    <xf numFmtId="15" fontId="73" fillId="0" borderId="0" xfId="0" quotePrefix="1" applyNumberFormat="1" applyFont="1" applyFill="1" applyAlignment="1">
      <alignment vertical="center"/>
    </xf>
    <xf numFmtId="0" fontId="9" fillId="0" borderId="0" xfId="0" quotePrefix="1" applyNumberFormat="1" applyFont="1" applyFill="1" applyAlignment="1">
      <alignment horizontal="center" vertical="center"/>
    </xf>
    <xf numFmtId="166" fontId="9" fillId="2" borderId="16" xfId="0" applyNumberFormat="1" applyFont="1" applyFill="1" applyBorder="1"/>
    <xf numFmtId="165" fontId="73" fillId="0" borderId="0" xfId="0" quotePrefix="1" applyNumberFormat="1" applyFont="1" applyFill="1" applyAlignment="1">
      <alignment horizontal="center" vertical="center" wrapText="1"/>
    </xf>
    <xf numFmtId="166" fontId="9" fillId="2" borderId="0" xfId="0" applyNumberFormat="1" applyFont="1" applyFill="1" applyBorder="1" applyAlignment="1">
      <alignment wrapText="1"/>
    </xf>
    <xf numFmtId="0" fontId="9" fillId="2" borderId="17" xfId="0" applyFont="1" applyFill="1" applyBorder="1" applyAlignment="1">
      <alignment wrapText="1"/>
    </xf>
    <xf numFmtId="0" fontId="9" fillId="2" borderId="0" xfId="0" applyFont="1" applyFill="1" applyAlignment="1">
      <alignment wrapText="1"/>
    </xf>
    <xf numFmtId="2" fontId="9" fillId="2" borderId="37" xfId="0" applyNumberFormat="1" applyFont="1" applyFill="1" applyBorder="1"/>
    <xf numFmtId="2" fontId="9" fillId="2" borderId="47" xfId="0" applyNumberFormat="1" applyFont="1" applyFill="1" applyBorder="1"/>
    <xf numFmtId="0" fontId="73" fillId="2" borderId="0" xfId="0" quotePrefix="1" applyFont="1" applyFill="1"/>
    <xf numFmtId="0" fontId="73" fillId="0" borderId="0" xfId="0" quotePrefix="1" applyFont="1" applyFill="1"/>
    <xf numFmtId="166" fontId="9" fillId="2" borderId="17" xfId="0" applyNumberFormat="1" applyFont="1" applyFill="1" applyBorder="1"/>
    <xf numFmtId="166" fontId="9" fillId="2" borderId="0" xfId="0" applyNumberFormat="1" applyFont="1" applyFill="1" applyBorder="1"/>
    <xf numFmtId="166" fontId="9" fillId="2" borderId="0" xfId="0" applyNumberFormat="1" applyFont="1" applyFill="1" applyBorder="1"/>
    <xf numFmtId="37" fontId="9" fillId="0" borderId="0" xfId="0" applyNumberFormat="1" applyFont="1" applyFill="1"/>
    <xf numFmtId="166" fontId="9" fillId="2" borderId="0" xfId="0" applyNumberFormat="1" applyFont="1" applyFill="1"/>
    <xf numFmtId="0" fontId="9" fillId="2" borderId="46" xfId="0" applyFont="1" applyFill="1" applyBorder="1"/>
    <xf numFmtId="0" fontId="9" fillId="2" borderId="16" xfId="0" applyNumberFormat="1" applyFont="1" applyFill="1" applyBorder="1" applyAlignment="1">
      <alignment horizontal="left" vertical="center"/>
    </xf>
    <xf numFmtId="166" fontId="73" fillId="2" borderId="38" xfId="1" applyNumberFormat="1" applyFont="1" applyFill="1" applyBorder="1"/>
    <xf numFmtId="166" fontId="73" fillId="2" borderId="39" xfId="1" applyNumberFormat="1" applyFont="1" applyFill="1" applyBorder="1"/>
    <xf numFmtId="166" fontId="73" fillId="2" borderId="40" xfId="1" applyNumberFormat="1" applyFont="1" applyFill="1" applyBorder="1"/>
    <xf numFmtId="2" fontId="9" fillId="2" borderId="48" xfId="0" applyNumberFormat="1" applyFont="1" applyFill="1" applyBorder="1"/>
    <xf numFmtId="2" fontId="9" fillId="2" borderId="20" xfId="0" applyNumberFormat="1" applyFont="1" applyFill="1" applyBorder="1"/>
    <xf numFmtId="0" fontId="9" fillId="2" borderId="20" xfId="0" applyFont="1" applyFill="1" applyBorder="1"/>
    <xf numFmtId="0" fontId="9" fillId="2" borderId="49" xfId="0" applyFont="1" applyFill="1" applyBorder="1"/>
    <xf numFmtId="0" fontId="9" fillId="2" borderId="18" xfId="0" applyFont="1" applyFill="1" applyBorder="1"/>
    <xf numFmtId="166" fontId="9" fillId="2" borderId="9" xfId="0" applyNumberFormat="1" applyFont="1" applyFill="1" applyBorder="1"/>
    <xf numFmtId="166" fontId="9" fillId="2" borderId="18" xfId="0" applyNumberFormat="1" applyFont="1" applyFill="1" applyBorder="1"/>
    <xf numFmtId="166" fontId="9" fillId="2" borderId="19" xfId="0" applyNumberFormat="1" applyFont="1" applyFill="1" applyBorder="1"/>
    <xf numFmtId="166" fontId="9" fillId="2" borderId="18" xfId="0" applyNumberFormat="1" applyFont="1" applyFill="1" applyBorder="1"/>
    <xf numFmtId="166" fontId="73" fillId="2" borderId="19" xfId="0" applyNumberFormat="1" applyFont="1" applyFill="1" applyBorder="1"/>
    <xf numFmtId="166" fontId="73" fillId="2" borderId="0" xfId="0" applyNumberFormat="1" applyFont="1" applyFill="1" applyBorder="1"/>
    <xf numFmtId="0" fontId="9" fillId="0" borderId="0" xfId="0" quotePrefix="1" applyFont="1" applyFill="1" applyAlignment="1"/>
    <xf numFmtId="166" fontId="9" fillId="2" borderId="36" xfId="1" applyNumberFormat="1" applyFont="1" applyFill="1" applyBorder="1"/>
    <xf numFmtId="0" fontId="9" fillId="0" borderId="0" xfId="0" quotePrefix="1" applyFont="1" applyFill="1" applyAlignment="1">
      <alignment horizontal="left" indent="2"/>
    </xf>
    <xf numFmtId="166" fontId="9" fillId="2" borderId="17" xfId="1" applyNumberFormat="1" applyFont="1" applyFill="1" applyBorder="1"/>
    <xf numFmtId="0" fontId="9" fillId="0" borderId="0" xfId="0" applyFont="1" applyFill="1" applyAlignment="1">
      <alignment horizontal="left" indent="2"/>
    </xf>
    <xf numFmtId="166" fontId="73" fillId="0" borderId="8" xfId="0" applyNumberFormat="1" applyFont="1" applyFill="1" applyBorder="1"/>
    <xf numFmtId="166" fontId="9" fillId="0" borderId="8" xfId="0" applyNumberFormat="1" applyFont="1" applyFill="1" applyBorder="1"/>
    <xf numFmtId="166" fontId="73" fillId="2" borderId="17" xfId="0" applyNumberFormat="1" applyFont="1" applyFill="1" applyBorder="1"/>
    <xf numFmtId="166" fontId="73" fillId="0" borderId="2" xfId="0" applyNumberFormat="1" applyFont="1" applyFill="1" applyBorder="1"/>
    <xf numFmtId="166" fontId="9" fillId="0" borderId="2" xfId="0" applyNumberFormat="1" applyFont="1" applyFill="1" applyBorder="1"/>
    <xf numFmtId="166" fontId="73" fillId="0" borderId="3" xfId="0" applyNumberFormat="1" applyFont="1" applyFill="1" applyBorder="1"/>
    <xf numFmtId="166" fontId="9" fillId="0" borderId="3" xfId="0" applyNumberFormat="1" applyFont="1" applyFill="1" applyBorder="1"/>
    <xf numFmtId="166" fontId="9" fillId="2" borderId="9" xfId="0" applyNumberFormat="1" applyFont="1" applyFill="1" applyBorder="1"/>
    <xf numFmtId="166" fontId="9" fillId="2" borderId="19" xfId="0" applyNumberFormat="1" applyFont="1" applyFill="1" applyBorder="1"/>
    <xf numFmtId="166" fontId="9" fillId="0" borderId="37" xfId="1" applyNumberFormat="1" applyFont="1" applyFill="1" applyBorder="1"/>
    <xf numFmtId="165" fontId="9" fillId="0" borderId="0" xfId="0" applyNumberFormat="1" applyFont="1" applyFill="1" applyAlignment="1">
      <alignment vertical="top"/>
    </xf>
    <xf numFmtId="166" fontId="73" fillId="0" borderId="4" xfId="0" applyNumberFormat="1" applyFont="1" applyFill="1" applyBorder="1" applyAlignment="1">
      <alignment vertical="top"/>
    </xf>
    <xf numFmtId="166" fontId="9" fillId="0" borderId="0" xfId="0" applyNumberFormat="1" applyFont="1" applyFill="1" applyAlignment="1">
      <alignment vertical="top"/>
    </xf>
    <xf numFmtId="166" fontId="9" fillId="0" borderId="4" xfId="0" applyNumberFormat="1" applyFont="1" applyFill="1" applyBorder="1" applyAlignment="1">
      <alignment vertical="top"/>
    </xf>
    <xf numFmtId="0" fontId="77" fillId="0" borderId="0" xfId="0" applyFont="1" applyFill="1" applyAlignment="1">
      <alignment vertical="top"/>
    </xf>
    <xf numFmtId="166" fontId="9" fillId="2" borderId="0" xfId="0" applyNumberFormat="1" applyFont="1" applyFill="1" applyBorder="1" applyAlignment="1">
      <alignment vertical="top"/>
    </xf>
    <xf numFmtId="166" fontId="9" fillId="2" borderId="0" xfId="0" applyNumberFormat="1" applyFont="1" applyFill="1" applyBorder="1" applyAlignment="1">
      <alignment vertical="top"/>
    </xf>
    <xf numFmtId="166" fontId="9" fillId="2" borderId="0" xfId="0" applyNumberFormat="1" applyFont="1" applyFill="1" applyAlignment="1">
      <alignment vertical="top"/>
    </xf>
    <xf numFmtId="166" fontId="73" fillId="0" borderId="0" xfId="0" applyNumberFormat="1" applyFont="1" applyFill="1" applyBorder="1"/>
    <xf numFmtId="0" fontId="9" fillId="2" borderId="14" xfId="0" applyNumberFormat="1" applyFont="1" applyFill="1" applyBorder="1" applyAlignment="1">
      <alignment horizontal="left" vertical="center"/>
    </xf>
    <xf numFmtId="166" fontId="9" fillId="2" borderId="14" xfId="0" applyNumberFormat="1" applyFont="1" applyFill="1" applyBorder="1"/>
    <xf numFmtId="166" fontId="9" fillId="2" borderId="15" xfId="0" applyNumberFormat="1" applyFont="1" applyFill="1" applyBorder="1"/>
    <xf numFmtId="37" fontId="9" fillId="0" borderId="0" xfId="0" applyNumberFormat="1" applyFont="1" applyFill="1" applyAlignment="1" applyProtection="1">
      <alignment horizontal="left" indent="1"/>
    </xf>
    <xf numFmtId="166" fontId="9" fillId="2" borderId="17" xfId="0" applyNumberFormat="1" applyFont="1" applyFill="1" applyBorder="1"/>
    <xf numFmtId="166" fontId="9" fillId="2" borderId="18" xfId="0" applyNumberFormat="1" applyFont="1" applyFill="1" applyBorder="1" applyAlignment="1">
      <alignment vertical="top"/>
    </xf>
    <xf numFmtId="166" fontId="9" fillId="2" borderId="19" xfId="0" applyNumberFormat="1" applyFont="1" applyFill="1" applyBorder="1" applyAlignment="1">
      <alignment vertical="top"/>
    </xf>
    <xf numFmtId="166" fontId="9" fillId="2" borderId="18" xfId="0" applyNumberFormat="1" applyFont="1" applyFill="1" applyBorder="1" applyAlignment="1">
      <alignment vertical="top"/>
    </xf>
    <xf numFmtId="166" fontId="9" fillId="2" borderId="19" xfId="0" applyNumberFormat="1" applyFont="1" applyFill="1" applyBorder="1" applyAlignment="1">
      <alignment vertical="top"/>
    </xf>
    <xf numFmtId="165" fontId="9" fillId="0" borderId="0" xfId="0" applyNumberFormat="1" applyFont="1" applyFill="1" applyAlignment="1">
      <alignment vertical="center"/>
    </xf>
    <xf numFmtId="166" fontId="9" fillId="2" borderId="0" xfId="0" applyNumberFormat="1" applyFont="1" applyFill="1" applyBorder="1" applyAlignment="1">
      <alignment vertical="center"/>
    </xf>
    <xf numFmtId="166" fontId="9" fillId="2" borderId="0" xfId="0" applyNumberFormat="1" applyFont="1" applyFill="1" applyBorder="1" applyAlignment="1">
      <alignment vertical="center"/>
    </xf>
    <xf numFmtId="166" fontId="9" fillId="2" borderId="0" xfId="0" applyNumberFormat="1" applyFont="1" applyFill="1" applyAlignment="1">
      <alignment vertical="center"/>
    </xf>
    <xf numFmtId="165" fontId="9" fillId="0" borderId="0" xfId="0" applyNumberFormat="1" applyFont="1" applyFill="1" applyAlignment="1">
      <alignment horizontal="center" vertical="center"/>
    </xf>
    <xf numFmtId="166" fontId="73" fillId="0" borderId="12" xfId="0" applyNumberFormat="1" applyFont="1" applyFill="1" applyBorder="1" applyAlignment="1">
      <alignment vertical="center"/>
    </xf>
    <xf numFmtId="166" fontId="9" fillId="0" borderId="12" xfId="0" applyNumberFormat="1" applyFont="1" applyFill="1" applyBorder="1" applyAlignment="1">
      <alignment vertical="center"/>
    </xf>
    <xf numFmtId="166" fontId="9" fillId="2" borderId="0" xfId="0" applyNumberFormat="1" applyFont="1" applyFill="1" applyAlignment="1">
      <alignment vertical="center"/>
    </xf>
    <xf numFmtId="166" fontId="73" fillId="0" borderId="14" xfId="0" applyNumberFormat="1" applyFont="1" applyFill="1" applyBorder="1" applyAlignment="1">
      <alignment horizontal="center"/>
    </xf>
    <xf numFmtId="166" fontId="73" fillId="0" borderId="8" xfId="0" applyNumberFormat="1" applyFont="1" applyFill="1" applyBorder="1" applyAlignment="1">
      <alignment horizontal="center"/>
    </xf>
    <xf numFmtId="166" fontId="73" fillId="0" borderId="15" xfId="0" applyNumberFormat="1" applyFont="1" applyFill="1" applyBorder="1" applyAlignment="1">
      <alignment horizontal="center"/>
    </xf>
    <xf numFmtId="166" fontId="9" fillId="0" borderId="14" xfId="0" applyNumberFormat="1" applyFont="1" applyFill="1" applyBorder="1"/>
    <xf numFmtId="0" fontId="9" fillId="0" borderId="15" xfId="0" applyFont="1" applyFill="1" applyBorder="1"/>
    <xf numFmtId="0" fontId="9" fillId="0" borderId="14" xfId="0" applyFont="1" applyFill="1" applyBorder="1"/>
    <xf numFmtId="166" fontId="9" fillId="0" borderId="15" xfId="0" applyNumberFormat="1" applyFont="1" applyFill="1" applyBorder="1"/>
    <xf numFmtId="166" fontId="9" fillId="0" borderId="16" xfId="0" applyNumberFormat="1" applyFont="1" applyFill="1" applyBorder="1"/>
    <xf numFmtId="0" fontId="9" fillId="0" borderId="17" xfId="0" applyFont="1" applyFill="1" applyBorder="1"/>
    <xf numFmtId="0" fontId="9" fillId="0" borderId="16" xfId="0" applyFont="1" applyFill="1" applyBorder="1"/>
    <xf numFmtId="166" fontId="9" fillId="0" borderId="16" xfId="0" applyNumberFormat="1" applyFont="1" applyFill="1" applyBorder="1" applyAlignment="1">
      <alignment vertical="center"/>
    </xf>
    <xf numFmtId="0" fontId="9" fillId="0" borderId="17" xfId="0" applyFont="1" applyFill="1" applyBorder="1" applyAlignment="1">
      <alignment vertical="center"/>
    </xf>
    <xf numFmtId="166" fontId="9" fillId="0" borderId="17" xfId="0" applyNumberFormat="1" applyFont="1" applyFill="1" applyBorder="1" applyAlignment="1">
      <alignment vertical="center"/>
    </xf>
    <xf numFmtId="166" fontId="9" fillId="0" borderId="17" xfId="0" applyNumberFormat="1" applyFont="1" applyFill="1" applyBorder="1"/>
    <xf numFmtId="165" fontId="9" fillId="0" borderId="0" xfId="0" quotePrefix="1" applyNumberFormat="1" applyFont="1" applyFill="1" applyAlignment="1">
      <alignment horizontal="center"/>
    </xf>
    <xf numFmtId="166" fontId="9" fillId="0" borderId="17" xfId="0" applyNumberFormat="1" applyFont="1" applyFill="1" applyBorder="1"/>
    <xf numFmtId="2" fontId="9" fillId="0" borderId="0" xfId="0" applyNumberFormat="1" applyFont="1" applyFill="1" applyAlignment="1">
      <alignment horizontal="center" vertical="center"/>
    </xf>
    <xf numFmtId="166" fontId="9" fillId="0" borderId="18" xfId="0" applyNumberFormat="1" applyFont="1" applyFill="1" applyBorder="1" applyAlignment="1">
      <alignment vertical="center"/>
    </xf>
    <xf numFmtId="166" fontId="9" fillId="0" borderId="19" xfId="0" applyNumberFormat="1" applyFont="1" applyFill="1" applyBorder="1" applyAlignment="1">
      <alignment vertical="center"/>
    </xf>
    <xf numFmtId="0" fontId="9" fillId="0" borderId="18" xfId="0" applyFont="1" applyFill="1" applyBorder="1" applyAlignment="1">
      <alignment vertical="center"/>
    </xf>
    <xf numFmtId="166" fontId="9" fillId="0" borderId="19" xfId="0" applyNumberFormat="1" applyFont="1" applyFill="1" applyBorder="1" applyAlignment="1">
      <alignment vertical="center"/>
    </xf>
    <xf numFmtId="166" fontId="9" fillId="2" borderId="0" xfId="0" quotePrefix="1" applyNumberFormat="1" applyFont="1" applyFill="1" applyBorder="1"/>
    <xf numFmtId="0" fontId="9" fillId="0" borderId="0" xfId="0" applyFont="1" applyFill="1" applyBorder="1" applyAlignment="1"/>
    <xf numFmtId="0" fontId="93" fillId="0" borderId="0" xfId="0" applyFont="1" applyFill="1" applyAlignment="1"/>
    <xf numFmtId="166" fontId="73" fillId="2" borderId="0" xfId="1" applyNumberFormat="1" applyFont="1" applyFill="1" applyAlignment="1"/>
    <xf numFmtId="166" fontId="77" fillId="2" borderId="0" xfId="1" applyNumberFormat="1" applyFont="1" applyFill="1" applyAlignment="1"/>
    <xf numFmtId="0" fontId="73" fillId="0" borderId="0" xfId="0" applyFont="1" applyFill="1" applyAlignment="1">
      <alignment horizontal="centerContinuous"/>
    </xf>
    <xf numFmtId="165" fontId="93" fillId="0" borderId="0" xfId="0" applyNumberFormat="1" applyFont="1" applyFill="1" applyAlignment="1">
      <alignment horizontal="centerContinuous"/>
    </xf>
    <xf numFmtId="0" fontId="9" fillId="0" borderId="0" xfId="0" applyFont="1" applyFill="1" applyAlignment="1">
      <alignment horizontal="centerContinuous"/>
    </xf>
    <xf numFmtId="0" fontId="73" fillId="2" borderId="0" xfId="0" applyFont="1" applyFill="1" applyAlignment="1">
      <alignment horizontal="centerContinuous"/>
    </xf>
    <xf numFmtId="166" fontId="77" fillId="0" borderId="0" xfId="1" applyNumberFormat="1" applyFont="1" applyFill="1"/>
    <xf numFmtId="166" fontId="77" fillId="0" borderId="0" xfId="0" applyNumberFormat="1" applyFont="1" applyFill="1"/>
    <xf numFmtId="166" fontId="78" fillId="0" borderId="0" xfId="0" applyNumberFormat="1" applyFont="1" applyFill="1"/>
    <xf numFmtId="0" fontId="77" fillId="0" borderId="0" xfId="0" applyFont="1" applyFill="1"/>
    <xf numFmtId="3" fontId="9" fillId="0" borderId="0" xfId="0" applyNumberFormat="1" applyFont="1" applyFill="1" applyAlignment="1">
      <alignment horizontal="right" vertical="center" wrapText="1"/>
    </xf>
    <xf numFmtId="166" fontId="9" fillId="0" borderId="0" xfId="0" applyNumberFormat="1" applyFont="1" applyFill="1" applyAlignment="1">
      <alignment horizontal="center"/>
    </xf>
    <xf numFmtId="166" fontId="9" fillId="0" borderId="0" xfId="0" applyNumberFormat="1" applyFont="1" applyFill="1" applyAlignment="1">
      <alignment horizontal="center" vertical="top" wrapText="1"/>
    </xf>
    <xf numFmtId="0" fontId="73" fillId="0" borderId="0" xfId="0" applyFont="1" applyFill="1" applyAlignment="1">
      <alignment vertical="top"/>
    </xf>
    <xf numFmtId="0" fontId="9" fillId="0" borderId="0" xfId="0" applyFont="1" applyFill="1" applyAlignment="1">
      <alignment vertical="top"/>
    </xf>
    <xf numFmtId="0" fontId="73" fillId="0" borderId="0" xfId="0" applyNumberFormat="1" applyFont="1" applyFill="1" applyAlignment="1"/>
    <xf numFmtId="0" fontId="92" fillId="0" borderId="0" xfId="0" applyFont="1"/>
    <xf numFmtId="0" fontId="92" fillId="0" borderId="0" xfId="0" applyFont="1" applyFill="1"/>
    <xf numFmtId="0" fontId="91" fillId="0" borderId="0" xfId="0" applyFont="1" applyFill="1" applyAlignment="1">
      <alignment vertical="top"/>
    </xf>
    <xf numFmtId="0" fontId="90" fillId="0" borderId="0" xfId="0" applyFont="1" applyFill="1" applyAlignment="1">
      <alignment vertical="top"/>
    </xf>
    <xf numFmtId="166" fontId="91" fillId="0" borderId="0" xfId="1" applyNumberFormat="1" applyFont="1" applyFill="1" applyAlignment="1">
      <alignment vertical="top"/>
    </xf>
    <xf numFmtId="43" fontId="9" fillId="0" borderId="0" xfId="0" applyNumberFormat="1" applyFont="1" applyFill="1" applyAlignment="1">
      <alignment vertical="top"/>
    </xf>
    <xf numFmtId="0" fontId="90" fillId="0" borderId="0" xfId="0" applyFont="1" applyFill="1" applyBorder="1" applyAlignment="1">
      <alignment horizontal="center" vertical="top"/>
    </xf>
    <xf numFmtId="1" fontId="9" fillId="0" borderId="0" xfId="0" applyNumberFormat="1" applyFont="1" applyFill="1" applyAlignment="1">
      <alignment vertical="top"/>
    </xf>
    <xf numFmtId="0" fontId="90" fillId="0" borderId="0" xfId="0" applyFont="1" applyFill="1" applyAlignment="1">
      <alignment horizontal="center" vertical="top" wrapText="1"/>
    </xf>
    <xf numFmtId="166" fontId="90" fillId="0" borderId="34" xfId="1" applyNumberFormat="1" applyFont="1" applyFill="1" applyBorder="1" applyAlignment="1">
      <alignment horizontal="center" vertical="top" wrapText="1"/>
    </xf>
    <xf numFmtId="166" fontId="90" fillId="0" borderId="0" xfId="1" applyNumberFormat="1" applyFont="1" applyFill="1" applyAlignment="1">
      <alignment horizontal="center" vertical="top" wrapText="1"/>
    </xf>
    <xf numFmtId="0" fontId="73" fillId="0" borderId="0" xfId="0" applyFont="1" applyFill="1" applyAlignment="1">
      <alignment horizontal="center" vertical="top" wrapText="1"/>
    </xf>
    <xf numFmtId="43" fontId="73" fillId="0" borderId="0" xfId="0" applyNumberFormat="1" applyFont="1" applyFill="1" applyAlignment="1">
      <alignment horizontal="center" vertical="top" wrapText="1"/>
    </xf>
    <xf numFmtId="166" fontId="90" fillId="0" borderId="0" xfId="1" applyNumberFormat="1" applyFont="1" applyFill="1" applyBorder="1" applyAlignment="1">
      <alignment horizontal="center" vertical="top"/>
    </xf>
    <xf numFmtId="43" fontId="90" fillId="0" borderId="0" xfId="1" applyFont="1" applyFill="1" applyBorder="1" applyAlignment="1">
      <alignment horizontal="center" vertical="top"/>
    </xf>
    <xf numFmtId="166" fontId="90" fillId="0" borderId="0" xfId="1" applyNumberFormat="1" applyFont="1" applyFill="1" applyAlignment="1">
      <alignment horizontal="center" vertical="top"/>
    </xf>
    <xf numFmtId="0" fontId="73" fillId="0" borderId="0" xfId="0" applyFont="1" applyFill="1" applyAlignment="1">
      <alignment horizontal="center" vertical="top"/>
    </xf>
    <xf numFmtId="166" fontId="91" fillId="0" borderId="0" xfId="1" applyNumberFormat="1" applyFont="1" applyFill="1" applyAlignment="1">
      <alignment horizontal="center" vertical="top"/>
    </xf>
    <xf numFmtId="0" fontId="9" fillId="0" borderId="0" xfId="0" applyFont="1" applyFill="1" applyBorder="1" applyAlignment="1">
      <alignment horizontal="center"/>
    </xf>
    <xf numFmtId="166" fontId="9" fillId="0" borderId="0" xfId="0" applyNumberFormat="1" applyFont="1" applyFill="1" applyBorder="1" applyAlignment="1">
      <alignment horizontal="center"/>
    </xf>
    <xf numFmtId="166" fontId="9" fillId="0" borderId="0" xfId="0" applyNumberFormat="1" applyFont="1" applyFill="1" applyAlignment="1">
      <alignment vertical="top"/>
    </xf>
    <xf numFmtId="166" fontId="91" fillId="0" borderId="0" xfId="1" applyNumberFormat="1" applyFont="1" applyFill="1" applyBorder="1" applyAlignment="1">
      <alignment vertical="top"/>
    </xf>
    <xf numFmtId="166" fontId="9" fillId="0" borderId="0" xfId="1" applyNumberFormat="1" applyFont="1" applyFill="1" applyAlignment="1">
      <alignment vertical="top"/>
    </xf>
    <xf numFmtId="166" fontId="9" fillId="0" borderId="2" xfId="1" applyNumberFormat="1" applyFont="1" applyFill="1" applyBorder="1" applyAlignment="1">
      <alignment vertical="top"/>
    </xf>
    <xf numFmtId="0" fontId="91" fillId="0" borderId="0" xfId="0" quotePrefix="1" applyFont="1" applyFill="1" applyAlignment="1" applyProtection="1">
      <alignment horizontal="left" vertical="top" indent="1"/>
    </xf>
    <xf numFmtId="43" fontId="73" fillId="0" borderId="0" xfId="1" applyFont="1" applyFill="1" applyBorder="1"/>
    <xf numFmtId="166" fontId="9" fillId="0" borderId="4" xfId="1" applyNumberFormat="1" applyFont="1" applyFill="1" applyBorder="1" applyAlignment="1">
      <alignment vertical="top"/>
    </xf>
    <xf numFmtId="166" fontId="9" fillId="0" borderId="4" xfId="0" applyNumberFormat="1" applyFont="1" applyFill="1" applyBorder="1" applyAlignment="1">
      <alignment vertical="top"/>
    </xf>
    <xf numFmtId="0" fontId="91" fillId="0" borderId="0" xfId="0" applyFont="1" applyFill="1" applyAlignment="1">
      <alignment horizontal="left" vertical="top" indent="2"/>
    </xf>
    <xf numFmtId="166" fontId="90" fillId="0" borderId="2" xfId="1" applyNumberFormat="1" applyFont="1" applyFill="1" applyBorder="1" applyAlignment="1">
      <alignment horizontal="center" vertical="top"/>
    </xf>
    <xf numFmtId="166" fontId="9" fillId="0" borderId="0" xfId="1" applyNumberFormat="1" applyFont="1" applyFill="1"/>
    <xf numFmtId="181" fontId="9" fillId="0" borderId="0" xfId="1" applyNumberFormat="1" applyFont="1" applyFill="1"/>
    <xf numFmtId="166" fontId="9" fillId="0" borderId="12" xfId="1" applyNumberFormat="1" applyFont="1" applyFill="1" applyBorder="1" applyAlignment="1">
      <alignment vertical="top"/>
    </xf>
    <xf numFmtId="166" fontId="90" fillId="0" borderId="4" xfId="1" applyNumberFormat="1" applyFont="1" applyFill="1" applyBorder="1" applyAlignment="1">
      <alignment horizontal="center" vertical="top"/>
    </xf>
    <xf numFmtId="166" fontId="90" fillId="0" borderId="0" xfId="0" applyNumberFormat="1" applyFont="1" applyFill="1" applyBorder="1" applyAlignment="1" applyProtection="1">
      <alignment horizontal="center" vertical="top"/>
      <protection locked="0"/>
    </xf>
    <xf numFmtId="166" fontId="91" fillId="0" borderId="0" xfId="0" applyNumberFormat="1" applyFont="1" applyFill="1" applyBorder="1" applyAlignment="1" applyProtection="1">
      <alignment horizontal="center" vertical="top"/>
      <protection locked="0"/>
    </xf>
    <xf numFmtId="0" fontId="91" fillId="2" borderId="0" xfId="0" quotePrefix="1" applyFont="1" applyFill="1" applyAlignment="1" applyProtection="1">
      <alignment horizontal="left" vertical="top" indent="1"/>
    </xf>
    <xf numFmtId="0" fontId="91" fillId="2" borderId="0" xfId="0" applyFont="1" applyFill="1" applyAlignment="1">
      <alignment vertical="top"/>
    </xf>
    <xf numFmtId="166" fontId="73" fillId="0" borderId="0" xfId="0" applyNumberFormat="1" applyFont="1" applyFill="1" applyBorder="1" applyAlignment="1">
      <alignment horizontal="center"/>
    </xf>
    <xf numFmtId="0" fontId="73" fillId="0" borderId="0" xfId="0" applyFont="1" applyFill="1" applyBorder="1" applyAlignment="1">
      <alignment horizontal="center"/>
    </xf>
    <xf numFmtId="0" fontId="91" fillId="2" borderId="0" xfId="0" quotePrefix="1" applyFont="1" applyFill="1" applyAlignment="1" applyProtection="1">
      <alignment horizontal="left" vertical="top" indent="2"/>
    </xf>
    <xf numFmtId="182" fontId="9" fillId="0" borderId="0" xfId="0" applyNumberFormat="1" applyFont="1" applyFill="1" applyAlignment="1">
      <alignment vertical="top"/>
    </xf>
    <xf numFmtId="166" fontId="90" fillId="0" borderId="3" xfId="1" applyNumberFormat="1" applyFont="1" applyFill="1" applyBorder="1" applyAlignment="1">
      <alignment vertical="top"/>
    </xf>
    <xf numFmtId="0" fontId="91" fillId="2" borderId="0" xfId="0" quotePrefix="1" applyFont="1" applyFill="1" applyAlignment="1">
      <alignment vertical="top"/>
    </xf>
    <xf numFmtId="166" fontId="90" fillId="0" borderId="3" xfId="1" applyNumberFormat="1" applyFont="1" applyFill="1" applyBorder="1" applyAlignment="1">
      <alignment horizontal="center" vertical="top"/>
    </xf>
    <xf numFmtId="166" fontId="90" fillId="0" borderId="17" xfId="1" applyNumberFormat="1" applyFont="1" applyFill="1" applyBorder="1" applyAlignment="1">
      <alignment horizontal="center" vertical="top"/>
    </xf>
    <xf numFmtId="166" fontId="90" fillId="0" borderId="18" xfId="1" applyNumberFormat="1" applyFont="1" applyFill="1" applyBorder="1" applyAlignment="1">
      <alignment vertical="top"/>
    </xf>
    <xf numFmtId="166" fontId="91" fillId="0" borderId="0" xfId="1" applyNumberFormat="1" applyFont="1" applyFill="1" applyBorder="1" applyAlignment="1">
      <alignment horizontal="center" vertical="top"/>
    </xf>
    <xf numFmtId="0" fontId="9" fillId="2" borderId="0" xfId="0" applyFont="1" applyFill="1" applyAlignment="1">
      <alignment vertical="top"/>
    </xf>
    <xf numFmtId="166" fontId="9" fillId="2" borderId="0" xfId="1" applyNumberFormat="1" applyFont="1" applyFill="1" applyAlignment="1">
      <alignment vertical="top"/>
    </xf>
    <xf numFmtId="166" fontId="9" fillId="2" borderId="0" xfId="0" applyNumberFormat="1" applyFont="1" applyFill="1" applyAlignment="1">
      <alignment vertical="top"/>
    </xf>
    <xf numFmtId="43" fontId="9" fillId="2" borderId="0" xfId="1" applyFont="1" applyFill="1" applyAlignment="1">
      <alignment vertical="top"/>
    </xf>
    <xf numFmtId="0" fontId="91" fillId="0" borderId="0" xfId="0" applyFont="1" applyFill="1" applyAlignment="1" applyProtection="1">
      <alignment vertical="top"/>
      <protection locked="0"/>
    </xf>
    <xf numFmtId="0" fontId="91" fillId="0" borderId="0" xfId="0" applyFont="1" applyFill="1" applyAlignment="1">
      <alignment horizontal="center" vertical="top"/>
    </xf>
    <xf numFmtId="166" fontId="94" fillId="0" borderId="0" xfId="1" applyNumberFormat="1" applyFont="1" applyFill="1" applyAlignment="1">
      <alignment vertical="top"/>
    </xf>
    <xf numFmtId="0" fontId="91" fillId="0" borderId="0" xfId="0" applyFont="1" applyFill="1" applyAlignment="1" applyProtection="1">
      <alignment horizontal="left" vertical="top" indent="1"/>
      <protection locked="0"/>
    </xf>
    <xf numFmtId="166" fontId="73" fillId="0" borderId="0" xfId="1" applyNumberFormat="1" applyFont="1" applyFill="1" applyAlignment="1">
      <alignment horizontal="center" vertical="top"/>
    </xf>
    <xf numFmtId="166" fontId="91" fillId="0" borderId="2" xfId="1" applyNumberFormat="1" applyFont="1" applyFill="1" applyBorder="1" applyAlignment="1">
      <alignment horizontal="center" vertical="top"/>
    </xf>
    <xf numFmtId="166" fontId="91" fillId="0" borderId="4" xfId="1" applyNumberFormat="1" applyFont="1" applyFill="1" applyBorder="1" applyAlignment="1">
      <alignment horizontal="center" vertical="top"/>
    </xf>
    <xf numFmtId="166" fontId="90" fillId="0" borderId="0" xfId="0" applyNumberFormat="1" applyFont="1" applyFill="1" applyBorder="1" applyAlignment="1">
      <alignment horizontal="center" vertical="top"/>
    </xf>
    <xf numFmtId="166" fontId="91" fillId="0" borderId="0" xfId="0" applyNumberFormat="1" applyFont="1" applyFill="1" applyBorder="1" applyAlignment="1">
      <alignment horizontal="center" vertical="top"/>
    </xf>
    <xf numFmtId="166" fontId="91" fillId="0" borderId="0" xfId="0" applyNumberFormat="1" applyFont="1" applyFill="1" applyBorder="1" applyAlignment="1">
      <alignment vertical="top"/>
    </xf>
    <xf numFmtId="0" fontId="90" fillId="0" borderId="0" xfId="0" applyFont="1" applyFill="1" applyAlignment="1">
      <alignment vertical="center"/>
    </xf>
    <xf numFmtId="0" fontId="91" fillId="0" borderId="0" xfId="0" applyFont="1" applyFill="1" applyAlignment="1">
      <alignment vertical="center"/>
    </xf>
    <xf numFmtId="0" fontId="91" fillId="0" borderId="0" xfId="0" applyFont="1" applyFill="1" applyAlignment="1">
      <alignment horizontal="center" vertical="center"/>
    </xf>
    <xf numFmtId="166" fontId="90" fillId="0" borderId="5" xfId="1" applyNumberFormat="1" applyFont="1" applyFill="1" applyBorder="1" applyAlignment="1">
      <alignment horizontal="center" vertical="center"/>
    </xf>
    <xf numFmtId="166" fontId="90" fillId="0" borderId="0" xfId="1" applyNumberFormat="1" applyFont="1" applyFill="1" applyBorder="1" applyAlignment="1">
      <alignment vertical="center"/>
    </xf>
    <xf numFmtId="0" fontId="9" fillId="0" borderId="0" xfId="0" applyFont="1" applyFill="1" applyAlignment="1">
      <alignment vertical="center"/>
    </xf>
    <xf numFmtId="166" fontId="9" fillId="0" borderId="0" xfId="0" applyNumberFormat="1" applyFont="1" applyFill="1" applyAlignment="1">
      <alignment vertical="center"/>
    </xf>
    <xf numFmtId="166" fontId="90" fillId="0" borderId="9" xfId="1" applyNumberFormat="1" applyFont="1" applyFill="1" applyBorder="1" applyAlignment="1">
      <alignment horizontal="center" vertical="top"/>
    </xf>
    <xf numFmtId="166" fontId="91" fillId="0" borderId="9" xfId="1" applyNumberFormat="1" applyFont="1" applyFill="1" applyBorder="1" applyAlignment="1">
      <alignment horizontal="center" vertical="top"/>
    </xf>
    <xf numFmtId="166" fontId="91" fillId="7" borderId="0" xfId="1" applyNumberFormat="1" applyFont="1" applyFill="1" applyBorder="1" applyAlignment="1">
      <alignment vertical="top"/>
    </xf>
    <xf numFmtId="0" fontId="91" fillId="2" borderId="0" xfId="0" applyFont="1" applyFill="1" applyAlignment="1">
      <alignment vertical="center"/>
    </xf>
    <xf numFmtId="0" fontId="91" fillId="2" borderId="0" xfId="0" applyFont="1" applyFill="1" applyAlignment="1">
      <alignment horizontal="center" vertical="top"/>
    </xf>
    <xf numFmtId="166" fontId="91" fillId="2" borderId="0" xfId="1" applyNumberFormat="1" applyFont="1" applyFill="1" applyAlignment="1">
      <alignment vertical="top"/>
    </xf>
    <xf numFmtId="166" fontId="91" fillId="2" borderId="0" xfId="1" applyNumberFormat="1" applyFont="1" applyFill="1" applyBorder="1" applyAlignment="1">
      <alignment vertical="top"/>
    </xf>
    <xf numFmtId="166" fontId="90" fillId="2" borderId="2" xfId="1" applyNumberFormat="1" applyFont="1" applyFill="1" applyBorder="1" applyAlignment="1">
      <alignment horizontal="center" vertical="top"/>
    </xf>
    <xf numFmtId="166" fontId="91" fillId="7" borderId="2" xfId="1" applyNumberFormat="1" applyFont="1" applyFill="1" applyBorder="1" applyAlignment="1">
      <alignment vertical="top"/>
    </xf>
    <xf numFmtId="166" fontId="90" fillId="2" borderId="4" xfId="1" applyNumberFormat="1" applyFont="1" applyFill="1" applyBorder="1" applyAlignment="1">
      <alignment horizontal="center" vertical="center"/>
    </xf>
    <xf numFmtId="166" fontId="91" fillId="0" borderId="0" xfId="1" applyNumberFormat="1" applyFont="1" applyFill="1" applyBorder="1" applyAlignment="1">
      <alignment vertical="center"/>
    </xf>
    <xf numFmtId="166" fontId="91" fillId="7" borderId="4" xfId="1" applyNumberFormat="1" applyFont="1" applyFill="1" applyBorder="1" applyAlignment="1">
      <alignment vertical="top"/>
    </xf>
    <xf numFmtId="166" fontId="90" fillId="2" borderId="0" xfId="1" applyNumberFormat="1" applyFont="1" applyFill="1" applyBorder="1" applyAlignment="1">
      <alignment horizontal="center" vertical="center"/>
    </xf>
    <xf numFmtId="166" fontId="91" fillId="7" borderId="0" xfId="1" applyNumberFormat="1" applyFont="1" applyFill="1" applyBorder="1" applyAlignment="1">
      <alignment vertical="center"/>
    </xf>
    <xf numFmtId="0" fontId="91" fillId="0" borderId="0" xfId="0" applyFont="1" applyFill="1" applyAlignment="1" applyProtection="1">
      <alignment vertical="top"/>
    </xf>
    <xf numFmtId="166" fontId="90" fillId="0" borderId="0" xfId="1" applyNumberFormat="1" applyFont="1" applyFill="1" applyBorder="1" applyAlignment="1">
      <alignment horizontal="center" vertical="center"/>
    </xf>
    <xf numFmtId="166" fontId="91" fillId="7" borderId="0" xfId="1" applyNumberFormat="1" applyFont="1" applyFill="1" applyBorder="1" applyAlignment="1">
      <alignment horizontal="center" vertical="center"/>
    </xf>
    <xf numFmtId="0" fontId="95" fillId="0" borderId="0" xfId="0" applyFont="1" applyFill="1" applyAlignment="1" applyProtection="1">
      <alignment horizontal="left" vertical="top" indent="1"/>
    </xf>
    <xf numFmtId="166" fontId="91" fillId="0" borderId="0" xfId="1" applyNumberFormat="1" applyFont="1" applyFill="1" applyBorder="1" applyAlignment="1">
      <alignment horizontal="center" vertical="center"/>
    </xf>
    <xf numFmtId="0" fontId="91" fillId="0" borderId="0" xfId="0" applyFont="1" applyFill="1" applyAlignment="1" applyProtection="1">
      <alignment horizontal="left" vertical="top" indent="1"/>
    </xf>
    <xf numFmtId="0" fontId="91" fillId="0" borderId="0" xfId="0" applyFont="1" applyFill="1" applyAlignment="1" applyProtection="1">
      <alignment horizontal="left" vertical="top" indent="2"/>
    </xf>
    <xf numFmtId="166" fontId="91" fillId="0" borderId="0" xfId="1" applyNumberFormat="1" applyFont="1" applyFill="1" applyAlignment="1">
      <alignment vertical="center"/>
    </xf>
    <xf numFmtId="166" fontId="91" fillId="7" borderId="5" xfId="1" applyNumberFormat="1" applyFont="1" applyFill="1" applyBorder="1" applyAlignment="1">
      <alignment horizontal="center" vertical="center"/>
    </xf>
    <xf numFmtId="166" fontId="91" fillId="0" borderId="5" xfId="1" applyNumberFormat="1" applyFont="1" applyFill="1" applyBorder="1" applyAlignment="1">
      <alignment horizontal="center" vertical="center"/>
    </xf>
    <xf numFmtId="0" fontId="91" fillId="0" borderId="0" xfId="0" applyFont="1" applyFill="1" applyAlignment="1">
      <alignment horizontal="right" vertical="top"/>
    </xf>
    <xf numFmtId="183" fontId="91" fillId="0" borderId="0" xfId="1" applyNumberFormat="1" applyFont="1" applyFill="1" applyBorder="1" applyAlignment="1">
      <alignment vertical="top"/>
    </xf>
    <xf numFmtId="181" fontId="90" fillId="0" borderId="7" xfId="1" applyNumberFormat="1" applyFont="1" applyFill="1" applyBorder="1" applyAlignment="1">
      <alignment horizontal="center" vertical="top"/>
    </xf>
    <xf numFmtId="181" fontId="91" fillId="0" borderId="7" xfId="1" applyNumberFormat="1" applyFont="1" applyFill="1" applyBorder="1" applyAlignment="1">
      <alignment horizontal="center" vertical="top"/>
    </xf>
    <xf numFmtId="166" fontId="90" fillId="0" borderId="0" xfId="1" applyNumberFormat="1" applyFont="1" applyFill="1" applyBorder="1" applyAlignment="1">
      <alignment vertical="top"/>
    </xf>
    <xf numFmtId="43" fontId="91" fillId="0" borderId="0" xfId="1" applyNumberFormat="1" applyFont="1" applyFill="1" applyBorder="1" applyAlignment="1">
      <alignment vertical="top"/>
    </xf>
    <xf numFmtId="43" fontId="90" fillId="0" borderId="0" xfId="1" applyNumberFormat="1" applyFont="1" applyFill="1" applyBorder="1" applyAlignment="1">
      <alignment vertical="top"/>
    </xf>
    <xf numFmtId="0" fontId="75" fillId="0" borderId="0" xfId="0" applyFont="1" applyFill="1" applyBorder="1" applyAlignment="1">
      <alignment vertical="top"/>
    </xf>
    <xf numFmtId="166" fontId="9" fillId="0" borderId="0" xfId="1" applyNumberFormat="1" applyFont="1" applyFill="1" applyBorder="1" applyAlignment="1">
      <alignment vertical="top"/>
    </xf>
    <xf numFmtId="0" fontId="9" fillId="7" borderId="0" xfId="0" applyFont="1" applyFill="1" applyAlignment="1">
      <alignment vertical="top"/>
    </xf>
    <xf numFmtId="0" fontId="96" fillId="2" borderId="0" xfId="0" applyFont="1" applyFill="1" applyAlignment="1">
      <alignment horizontal="center"/>
    </xf>
    <xf numFmtId="0" fontId="9" fillId="2" borderId="0" xfId="0" applyNumberFormat="1" applyFont="1" applyFill="1" applyAlignment="1">
      <alignment horizontal="center"/>
    </xf>
    <xf numFmtId="37" fontId="9" fillId="2" borderId="0" xfId="0" quotePrefix="1" applyNumberFormat="1" applyFont="1" applyFill="1" applyProtection="1"/>
    <xf numFmtId="168" fontId="9" fillId="2" borderId="0" xfId="0" applyNumberFormat="1" applyFont="1" applyFill="1" applyAlignment="1">
      <alignment horizontal="center"/>
    </xf>
    <xf numFmtId="166" fontId="9" fillId="2" borderId="0" xfId="0" applyNumberFormat="1" applyFont="1" applyFill="1" applyAlignment="1">
      <alignment horizontal="center"/>
    </xf>
    <xf numFmtId="166" fontId="9" fillId="2" borderId="0" xfId="0" applyNumberFormat="1" applyFont="1" applyFill="1" applyAlignment="1">
      <alignment horizontal="center"/>
    </xf>
    <xf numFmtId="166" fontId="73" fillId="2" borderId="0" xfId="0" applyNumberFormat="1" applyFont="1" applyFill="1" applyAlignment="1">
      <alignment horizontal="center"/>
    </xf>
    <xf numFmtId="166" fontId="9" fillId="2" borderId="0" xfId="0" applyNumberFormat="1" applyFont="1" applyFill="1" applyAlignment="1">
      <alignment horizontal="center"/>
    </xf>
    <xf numFmtId="0" fontId="9" fillId="2" borderId="0" xfId="0" applyFont="1" applyFill="1" applyAlignment="1">
      <alignment vertical="center"/>
    </xf>
    <xf numFmtId="166" fontId="73" fillId="2" borderId="5" xfId="0" applyNumberFormat="1" applyFont="1" applyFill="1" applyBorder="1" applyAlignment="1">
      <alignment horizontal="center" vertical="center"/>
    </xf>
    <xf numFmtId="166" fontId="9" fillId="2" borderId="0" xfId="0" applyNumberFormat="1" applyFont="1" applyFill="1" applyAlignment="1">
      <alignment horizontal="center" vertical="center"/>
    </xf>
    <xf numFmtId="166" fontId="9" fillId="2" borderId="5" xfId="0" applyNumberFormat="1" applyFont="1" applyFill="1" applyBorder="1" applyAlignment="1">
      <alignment horizontal="center" vertical="center"/>
    </xf>
    <xf numFmtId="0" fontId="76" fillId="0" borderId="0" xfId="0" quotePrefix="1" applyFont="1" applyFill="1" applyAlignment="1">
      <alignment horizontal="left"/>
    </xf>
    <xf numFmtId="166" fontId="74" fillId="0" borderId="0" xfId="0" applyNumberFormat="1" applyFont="1" applyFill="1"/>
    <xf numFmtId="0" fontId="76" fillId="0" borderId="0" xfId="0" applyFont="1" applyFill="1" applyAlignment="1"/>
    <xf numFmtId="0" fontId="97" fillId="0" borderId="0" xfId="0" applyFont="1" applyFill="1" applyAlignment="1">
      <alignment horizontal="center"/>
    </xf>
    <xf numFmtId="0" fontId="97" fillId="0" borderId="0" xfId="0" quotePrefix="1" applyNumberFormat="1" applyFont="1" applyFill="1" applyAlignment="1">
      <alignment horizontal="center" vertical="center"/>
    </xf>
    <xf numFmtId="15" fontId="97" fillId="0" borderId="0" xfId="0" quotePrefix="1" applyNumberFormat="1" applyFont="1" applyFill="1" applyAlignment="1">
      <alignment vertical="center"/>
    </xf>
    <xf numFmtId="0" fontId="92" fillId="0" borderId="0" xfId="0" quotePrefix="1" applyNumberFormat="1" applyFont="1" applyFill="1" applyAlignment="1">
      <alignment horizontal="center" vertical="center"/>
    </xf>
    <xf numFmtId="0" fontId="97" fillId="0" borderId="0" xfId="0" applyFont="1" applyFill="1"/>
    <xf numFmtId="0" fontId="92" fillId="0" borderId="0" xfId="0" applyFont="1" applyFill="1" applyAlignment="1">
      <alignment horizontal="center"/>
    </xf>
    <xf numFmtId="166" fontId="97" fillId="0" borderId="0" xfId="0" applyNumberFormat="1" applyFont="1" applyFill="1"/>
    <xf numFmtId="166" fontId="92" fillId="0" borderId="0" xfId="0" applyNumberFormat="1" applyFont="1" applyFill="1"/>
    <xf numFmtId="166" fontId="97" fillId="0" borderId="0" xfId="0" applyNumberFormat="1" applyFont="1" applyFill="1" applyBorder="1"/>
    <xf numFmtId="166" fontId="92" fillId="0" borderId="0" xfId="0" applyNumberFormat="1" applyFont="1" applyFill="1" applyBorder="1"/>
    <xf numFmtId="166" fontId="92" fillId="0" borderId="0" xfId="0" applyNumberFormat="1" applyFont="1" applyFill="1" applyBorder="1"/>
    <xf numFmtId="166" fontId="97" fillId="0" borderId="0" xfId="0" applyNumberFormat="1" applyFont="1" applyFill="1" applyBorder="1"/>
    <xf numFmtId="0" fontId="92" fillId="0" borderId="0" xfId="0" applyFont="1" applyFill="1" applyBorder="1"/>
    <xf numFmtId="0" fontId="92" fillId="0" borderId="0" xfId="0" applyFont="1" applyFill="1" applyAlignment="1">
      <alignment horizontal="left" indent="1"/>
    </xf>
    <xf numFmtId="166" fontId="97" fillId="0" borderId="8" xfId="0" applyNumberFormat="1" applyFont="1" applyFill="1" applyBorder="1" applyAlignment="1">
      <alignment horizontal="center"/>
    </xf>
    <xf numFmtId="166" fontId="92" fillId="0" borderId="8" xfId="0" applyNumberFormat="1" applyFont="1" applyFill="1" applyBorder="1" applyAlignment="1">
      <alignment horizontal="center"/>
    </xf>
    <xf numFmtId="166" fontId="97" fillId="0" borderId="2" xfId="0" applyNumberFormat="1" applyFont="1" applyFill="1" applyBorder="1"/>
    <xf numFmtId="166" fontId="92" fillId="0" borderId="2" xfId="0" applyNumberFormat="1" applyFont="1" applyFill="1" applyBorder="1"/>
    <xf numFmtId="166" fontId="97" fillId="0" borderId="3" xfId="0" applyNumberFormat="1" applyFont="1" applyFill="1" applyBorder="1"/>
    <xf numFmtId="166" fontId="92" fillId="0" borderId="3" xfId="0" applyNumberFormat="1" applyFont="1" applyFill="1" applyBorder="1"/>
    <xf numFmtId="0" fontId="92" fillId="0" borderId="0" xfId="0" applyFont="1" applyFill="1" applyAlignment="1">
      <alignment vertical="top"/>
    </xf>
    <xf numFmtId="0" fontId="92" fillId="0" borderId="0" xfId="0" applyFont="1" applyFill="1" applyAlignment="1">
      <alignment horizontal="center" vertical="top"/>
    </xf>
    <xf numFmtId="166" fontId="92" fillId="0" borderId="0" xfId="0" applyNumberFormat="1" applyFont="1" applyFill="1" applyAlignment="1">
      <alignment vertical="top"/>
    </xf>
    <xf numFmtId="166" fontId="92" fillId="0" borderId="4" xfId="0" applyNumberFormat="1" applyFont="1" applyFill="1" applyBorder="1" applyAlignment="1">
      <alignment vertical="top"/>
    </xf>
    <xf numFmtId="0" fontId="92" fillId="0" borderId="0" xfId="0" applyFont="1" applyFill="1" applyAlignment="1">
      <alignment vertical="center"/>
    </xf>
    <xf numFmtId="0" fontId="92" fillId="0" borderId="0" xfId="0" applyFont="1" applyFill="1" applyAlignment="1">
      <alignment horizontal="center" vertical="center"/>
    </xf>
    <xf numFmtId="166" fontId="97" fillId="0" borderId="0" xfId="0" applyNumberFormat="1" applyFont="1" applyFill="1" applyBorder="1" applyAlignment="1">
      <alignment vertical="center"/>
    </xf>
    <xf numFmtId="166" fontId="92" fillId="0" borderId="0" xfId="0" applyNumberFormat="1" applyFont="1" applyFill="1" applyAlignment="1">
      <alignment vertical="center"/>
    </xf>
    <xf numFmtId="166" fontId="92" fillId="0" borderId="0" xfId="0" applyNumberFormat="1" applyFont="1" applyFill="1" applyBorder="1" applyAlignment="1">
      <alignment vertical="center"/>
    </xf>
    <xf numFmtId="166" fontId="97" fillId="0" borderId="8" xfId="0" applyNumberFormat="1" applyFont="1" applyFill="1" applyBorder="1"/>
    <xf numFmtId="166" fontId="92" fillId="0" borderId="8" xfId="0" applyNumberFormat="1" applyFont="1" applyFill="1" applyBorder="1"/>
    <xf numFmtId="0" fontId="92" fillId="0" borderId="0" xfId="0" applyFont="1" applyFill="1"/>
    <xf numFmtId="166" fontId="97" fillId="0" borderId="5" xfId="0" applyNumberFormat="1" applyFont="1" applyFill="1" applyBorder="1"/>
    <xf numFmtId="166" fontId="97" fillId="0" borderId="2" xfId="0" applyNumberFormat="1" applyFont="1" applyFill="1" applyBorder="1"/>
    <xf numFmtId="166" fontId="97" fillId="0" borderId="4" xfId="0" applyNumberFormat="1" applyFont="1" applyFill="1" applyBorder="1"/>
    <xf numFmtId="0" fontId="76" fillId="0" borderId="0" xfId="0" applyFont="1" applyFill="1" applyAlignment="1">
      <alignment horizontal="centerContinuous"/>
    </xf>
    <xf numFmtId="0" fontId="76" fillId="0" borderId="0" xfId="0" applyNumberFormat="1" applyFont="1" applyFill="1" applyAlignment="1">
      <alignment horizontal="left" vertical="center"/>
    </xf>
    <xf numFmtId="0" fontId="76" fillId="0" borderId="0" xfId="0" applyNumberFormat="1" applyFont="1" applyFill="1" applyAlignment="1">
      <alignment vertical="center"/>
    </xf>
    <xf numFmtId="0" fontId="76" fillId="0" borderId="0" xfId="0" applyNumberFormat="1" applyFont="1" applyFill="1" applyAlignment="1">
      <alignment horizontal="center" vertical="center"/>
    </xf>
    <xf numFmtId="0" fontId="74" fillId="0" borderId="0" xfId="0" applyNumberFormat="1" applyFont="1" applyFill="1"/>
    <xf numFmtId="0" fontId="76" fillId="0" borderId="0" xfId="0" applyNumberFormat="1" applyFont="1" applyFill="1"/>
    <xf numFmtId="0" fontId="73" fillId="2" borderId="0" xfId="0" applyFont="1" applyFill="1" applyBorder="1" applyAlignment="1">
      <alignment horizontal="center"/>
    </xf>
    <xf numFmtId="0" fontId="9" fillId="2" borderId="0" xfId="0" applyFont="1" applyFill="1" applyAlignment="1"/>
    <xf numFmtId="0" fontId="9" fillId="0" borderId="0" xfId="0" applyFont="1" applyFill="1" applyAlignment="1">
      <alignment horizontal="center"/>
    </xf>
    <xf numFmtId="166" fontId="73" fillId="2" borderId="0" xfId="0" applyNumberFormat="1" applyFont="1" applyFill="1" applyAlignment="1">
      <alignment horizontal="center"/>
    </xf>
    <xf numFmtId="0" fontId="90" fillId="0" borderId="0" xfId="0" quotePrefix="1" applyFont="1" applyFill="1" applyAlignment="1">
      <alignment horizontal="center" vertical="top"/>
    </xf>
    <xf numFmtId="0" fontId="90" fillId="0" borderId="0" xfId="0" applyFont="1" applyFill="1" applyAlignment="1">
      <alignment horizontal="center" vertical="top"/>
    </xf>
    <xf numFmtId="0" fontId="73" fillId="0" borderId="0" xfId="0" applyFont="1" applyFill="1" applyBorder="1" applyAlignment="1">
      <alignment horizontal="center"/>
    </xf>
    <xf numFmtId="0" fontId="73" fillId="0" borderId="0" xfId="0" applyFont="1" applyFill="1" applyAlignment="1">
      <alignment horizontal="center"/>
    </xf>
    <xf numFmtId="166" fontId="73" fillId="0" borderId="0" xfId="0" applyNumberFormat="1" applyFont="1" applyFill="1" applyAlignment="1">
      <alignment horizontal="center"/>
    </xf>
    <xf numFmtId="0" fontId="91" fillId="0" borderId="0" xfId="0" quotePrefix="1" applyFont="1" applyFill="1" applyAlignment="1" applyProtection="1">
      <alignment horizontal="left" vertical="top" indent="3"/>
    </xf>
    <xf numFmtId="166" fontId="90" fillId="0" borderId="14" xfId="1" applyNumberFormat="1" applyFont="1" applyFill="1" applyBorder="1" applyAlignment="1">
      <alignment horizontal="center" vertical="top"/>
    </xf>
    <xf numFmtId="166" fontId="90" fillId="0" borderId="16" xfId="1" applyNumberFormat="1" applyFont="1" applyFill="1" applyBorder="1" applyAlignment="1">
      <alignment horizontal="center" vertical="top"/>
    </xf>
    <xf numFmtId="166" fontId="90" fillId="0" borderId="18" xfId="1" applyNumberFormat="1" applyFont="1" applyFill="1" applyBorder="1" applyAlignment="1">
      <alignment horizontal="center" vertical="top"/>
    </xf>
    <xf numFmtId="0" fontId="9" fillId="0" borderId="0" xfId="0" applyFont="1" applyFill="1" applyAlignment="1">
      <alignment horizontal="center" vertical="center"/>
    </xf>
    <xf numFmtId="0" fontId="9" fillId="0" borderId="0" xfId="0" applyFont="1" applyFill="1" applyAlignment="1">
      <alignment horizontal="center"/>
    </xf>
    <xf numFmtId="0" fontId="73" fillId="0" borderId="0" xfId="0" applyFont="1" applyFill="1" applyAlignment="1">
      <alignment horizontal="center"/>
    </xf>
    <xf numFmtId="0" fontId="9" fillId="0" borderId="0" xfId="0" applyFont="1" applyFill="1" applyAlignment="1">
      <alignment horizontal="justify" vertical="top" wrapText="1"/>
    </xf>
    <xf numFmtId="0" fontId="9" fillId="0" borderId="0" xfId="0" applyFont="1" applyFill="1" applyAlignment="1">
      <alignment horizontal="justify" vertical="top" wrapText="1"/>
    </xf>
    <xf numFmtId="0" fontId="72" fillId="0" borderId="0" xfId="0" applyFont="1" applyFill="1" applyAlignment="1">
      <alignment horizontal="justify" vertical="top" wrapText="1"/>
    </xf>
    <xf numFmtId="0" fontId="73" fillId="0" borderId="0" xfId="0" applyFont="1" applyFill="1" applyAlignment="1">
      <alignment horizontal="center" vertical="top"/>
    </xf>
    <xf numFmtId="0" fontId="9" fillId="0" borderId="0" xfId="0" applyFont="1" applyFill="1" applyAlignment="1">
      <alignment horizontal="justify" vertical="top"/>
    </xf>
    <xf numFmtId="37" fontId="81" fillId="0" borderId="0" xfId="0" quotePrefix="1" applyNumberFormat="1" applyFont="1" applyFill="1" applyAlignment="1">
      <alignment horizontal="center" vertical="top"/>
    </xf>
    <xf numFmtId="0" fontId="9" fillId="0" borderId="0" xfId="0" applyFont="1" applyFill="1" applyAlignment="1">
      <alignment horizontal="justify" vertical="top" wrapText="1"/>
    </xf>
    <xf numFmtId="0" fontId="72" fillId="0" borderId="0" xfId="0" applyFont="1" applyFill="1" applyAlignment="1">
      <alignment horizontal="justify" vertical="top"/>
    </xf>
    <xf numFmtId="37" fontId="81" fillId="0" borderId="0" xfId="0" quotePrefix="1" applyNumberFormat="1" applyFont="1" applyFill="1" applyBorder="1" applyAlignment="1">
      <alignment horizontal="center" vertical="top"/>
    </xf>
    <xf numFmtId="37" fontId="81" fillId="0" borderId="0" xfId="0" applyNumberFormat="1" applyFont="1" applyFill="1" applyAlignment="1">
      <alignment horizontal="center" vertical="center"/>
    </xf>
    <xf numFmtId="0" fontId="9" fillId="0" borderId="0" xfId="0" applyFont="1" applyFill="1" applyAlignment="1">
      <alignment horizontal="center" vertical="top"/>
    </xf>
    <xf numFmtId="1" fontId="73" fillId="0" borderId="0" xfId="0" applyNumberFormat="1" applyFont="1" applyFill="1" applyAlignment="1">
      <alignment horizontal="center" vertical="top"/>
    </xf>
    <xf numFmtId="0" fontId="73" fillId="0" borderId="0" xfId="0" applyFont="1" applyFill="1" applyAlignment="1">
      <alignment horizontal="justify" vertical="top"/>
    </xf>
    <xf numFmtId="0" fontId="9" fillId="0" borderId="0" xfId="0" quotePrefix="1" applyFont="1" applyFill="1" applyAlignment="1">
      <alignment horizontal="justify" vertical="top" wrapText="1"/>
    </xf>
    <xf numFmtId="37" fontId="9" fillId="0" borderId="0" xfId="0" quotePrefix="1" applyNumberFormat="1" applyFont="1" applyFill="1" applyAlignment="1">
      <alignment horizontal="justify" wrapText="1"/>
    </xf>
    <xf numFmtId="0" fontId="86" fillId="0" borderId="0" xfId="0" applyFont="1" applyFill="1" applyBorder="1" applyAlignment="1">
      <alignment horizontal="center" vertical="center" wrapText="1"/>
    </xf>
    <xf numFmtId="0" fontId="74" fillId="0" borderId="0" xfId="0" applyFont="1" applyFill="1" applyAlignment="1">
      <alignment horizontal="justify" vertical="top" wrapText="1"/>
    </xf>
    <xf numFmtId="0" fontId="86" fillId="0" borderId="0" xfId="0" applyFont="1" applyFill="1" applyBorder="1" applyAlignment="1">
      <alignment horizontal="center" vertical="top" wrapText="1"/>
    </xf>
    <xf numFmtId="0" fontId="73" fillId="0" borderId="0" xfId="0" quotePrefix="1" applyFont="1" applyFill="1" applyAlignment="1">
      <alignment horizontal="center" vertical="top"/>
    </xf>
    <xf numFmtId="16" fontId="76" fillId="0" borderId="0" xfId="0" quotePrefix="1" applyNumberFormat="1" applyFont="1" applyFill="1" applyAlignment="1">
      <alignment horizontal="center"/>
    </xf>
    <xf numFmtId="166" fontId="97" fillId="0" borderId="4" xfId="0" applyNumberFormat="1" applyFont="1" applyFill="1" applyBorder="1"/>
    <xf numFmtId="166" fontId="97" fillId="0" borderId="5" xfId="0" applyNumberFormat="1" applyFont="1" applyFill="1" applyBorder="1"/>
    <xf numFmtId="166" fontId="92" fillId="0" borderId="5" xfId="0" applyNumberFormat="1" applyFont="1" applyFill="1" applyBorder="1"/>
    <xf numFmtId="166" fontId="92" fillId="0" borderId="4" xfId="0" applyNumberFormat="1" applyFont="1" applyFill="1" applyBorder="1"/>
    <xf numFmtId="166" fontId="73" fillId="0" borderId="5" xfId="1" applyNumberFormat="1" applyFont="1" applyFill="1" applyBorder="1" applyAlignment="1">
      <alignment vertical="center"/>
    </xf>
    <xf numFmtId="0" fontId="9" fillId="2" borderId="0" xfId="0" applyFont="1" applyFill="1" applyAlignment="1">
      <alignment horizontal="center"/>
    </xf>
    <xf numFmtId="0" fontId="76" fillId="0" borderId="0" xfId="0" applyFont="1" applyFill="1" applyAlignment="1">
      <alignment horizontal="center"/>
    </xf>
    <xf numFmtId="166" fontId="73" fillId="2" borderId="0" xfId="0" applyNumberFormat="1" applyFont="1" applyFill="1" applyAlignment="1">
      <alignment horizontal="center"/>
    </xf>
    <xf numFmtId="16" fontId="76" fillId="0" borderId="0" xfId="0" applyNumberFormat="1" applyFont="1" applyFill="1" applyAlignment="1">
      <alignment horizontal="center"/>
    </xf>
    <xf numFmtId="16" fontId="74" fillId="0" borderId="0" xfId="0" applyNumberFormat="1" applyFont="1" applyFill="1" applyAlignment="1">
      <alignment horizontal="center"/>
    </xf>
    <xf numFmtId="166" fontId="0" fillId="0" borderId="0" xfId="1" applyNumberFormat="1" applyFont="1"/>
    <xf numFmtId="166" fontId="0" fillId="0" borderId="0" xfId="0" applyNumberFormat="1"/>
    <xf numFmtId="0" fontId="114" fillId="0" borderId="0" xfId="0" quotePrefix="1" applyNumberFormat="1" applyFont="1" applyFill="1" applyAlignment="1">
      <alignment vertical="top" wrapText="1"/>
    </xf>
    <xf numFmtId="0" fontId="116" fillId="0" borderId="0" xfId="0" applyFont="1" applyFill="1" applyAlignment="1">
      <alignment vertical="top" wrapText="1"/>
    </xf>
    <xf numFmtId="17" fontId="117" fillId="0" borderId="0" xfId="0" applyNumberFormat="1" applyFont="1" applyFill="1" applyBorder="1" applyAlignment="1">
      <alignment horizontal="center" vertical="top"/>
    </xf>
    <xf numFmtId="166" fontId="35" fillId="0" borderId="0" xfId="0" applyNumberFormat="1" applyFont="1" applyFill="1" applyBorder="1" applyAlignment="1">
      <alignment horizontal="justify" vertical="top" wrapText="1"/>
    </xf>
    <xf numFmtId="0" fontId="35" fillId="0" borderId="0" xfId="0" applyFont="1" applyFill="1" applyAlignment="1">
      <alignment horizontal="justify" vertical="top" wrapText="1"/>
    </xf>
    <xf numFmtId="0" fontId="32" fillId="0" borderId="0" xfId="0" applyFont="1" applyFill="1" applyBorder="1" applyAlignment="1">
      <alignment horizontal="justify" vertical="top"/>
    </xf>
    <xf numFmtId="0" fontId="114" fillId="0" borderId="0" xfId="0" applyNumberFormat="1" applyFont="1" applyFill="1" applyBorder="1" applyAlignment="1" applyProtection="1">
      <alignment vertical="top"/>
    </xf>
    <xf numFmtId="0" fontId="114" fillId="0" borderId="0" xfId="0" quotePrefix="1" applyNumberFormat="1" applyFont="1" applyFill="1" applyBorder="1" applyAlignment="1" applyProtection="1">
      <alignment horizontal="left" vertical="top" wrapText="1"/>
    </xf>
    <xf numFmtId="0" fontId="32" fillId="0" borderId="0" xfId="0" quotePrefix="1" applyFont="1" applyFill="1" applyBorder="1" applyAlignment="1">
      <alignment horizontal="right"/>
    </xf>
    <xf numFmtId="0" fontId="32" fillId="0" borderId="0" xfId="0" applyFont="1" applyFill="1" applyBorder="1" applyAlignment="1">
      <alignment horizontal="center" vertical="top" wrapText="1"/>
    </xf>
    <xf numFmtId="0" fontId="32" fillId="0" borderId="0" xfId="0" applyFont="1" applyFill="1" applyBorder="1" applyAlignment="1">
      <alignment horizontal="left" vertical="top" wrapText="1"/>
    </xf>
    <xf numFmtId="0" fontId="32" fillId="0" borderId="0" xfId="0" applyFont="1" applyFill="1" applyBorder="1" applyAlignment="1">
      <alignment horizontal="left" vertical="top"/>
    </xf>
    <xf numFmtId="16" fontId="35" fillId="0" borderId="0" xfId="0" quotePrefix="1" applyNumberFormat="1" applyFont="1" applyFill="1" applyBorder="1" applyAlignment="1">
      <alignment horizontal="center"/>
    </xf>
    <xf numFmtId="0" fontId="114" fillId="0" borderId="0" xfId="0" applyNumberFormat="1" applyFont="1" applyFill="1" applyBorder="1" applyAlignment="1">
      <alignment horizontal="center" vertical="top" wrapText="1"/>
    </xf>
    <xf numFmtId="0" fontId="35" fillId="0" borderId="0" xfId="0" applyNumberFormat="1" applyFont="1" applyFill="1" applyBorder="1" applyAlignment="1">
      <alignment horizontal="center"/>
    </xf>
    <xf numFmtId="0" fontId="114" fillId="0" borderId="0" xfId="0" applyNumberFormat="1" applyFont="1" applyFill="1" applyBorder="1" applyAlignment="1">
      <alignment horizontal="center"/>
    </xf>
    <xf numFmtId="0" fontId="35" fillId="0" borderId="0" xfId="0" quotePrefix="1" applyNumberFormat="1" applyFont="1" applyFill="1" applyBorder="1" applyAlignment="1">
      <alignment horizontal="left"/>
    </xf>
    <xf numFmtId="165" fontId="35" fillId="0" borderId="0" xfId="0" applyNumberFormat="1" applyFont="1" applyFill="1" applyBorder="1"/>
    <xf numFmtId="166" fontId="35" fillId="0" borderId="0" xfId="0" applyNumberFormat="1" applyFont="1" applyFill="1" applyBorder="1" applyAlignment="1">
      <alignment horizontal="right" vertical="center"/>
    </xf>
    <xf numFmtId="166" fontId="114" fillId="0" borderId="0" xfId="0" applyNumberFormat="1" applyFont="1" applyFill="1" applyBorder="1" applyAlignment="1">
      <alignment horizontal="right" vertical="center"/>
    </xf>
    <xf numFmtId="168" fontId="35" fillId="0" borderId="0" xfId="0" applyNumberFormat="1" applyFont="1" applyFill="1" applyBorder="1" applyAlignment="1">
      <alignment horizontal="left"/>
    </xf>
    <xf numFmtId="165" fontId="32" fillId="0" borderId="0" xfId="0" applyNumberFormat="1" applyFont="1" applyFill="1" applyBorder="1" applyAlignment="1">
      <alignment vertical="top"/>
    </xf>
    <xf numFmtId="0" fontId="115" fillId="0" borderId="0" xfId="0" applyFont="1" applyFill="1" applyBorder="1" applyAlignment="1">
      <alignment horizontal="center"/>
    </xf>
    <xf numFmtId="0" fontId="35" fillId="0" borderId="0" xfId="0" applyFont="1" applyFill="1" applyBorder="1" applyAlignment="1" applyProtection="1">
      <alignment horizontal="center" vertical="center"/>
    </xf>
    <xf numFmtId="0" fontId="32" fillId="0" borderId="0" xfId="0" applyFont="1" applyFill="1" applyBorder="1" applyAlignment="1" applyProtection="1">
      <alignment horizontal="center" vertical="center"/>
    </xf>
    <xf numFmtId="0" fontId="119" fillId="0" borderId="0" xfId="0" applyFont="1" applyFill="1" applyBorder="1"/>
    <xf numFmtId="0" fontId="114" fillId="0" borderId="0" xfId="0" applyFont="1" applyFill="1" applyBorder="1" applyAlignment="1">
      <alignment horizontal="left" vertical="top" indent="1"/>
    </xf>
    <xf numFmtId="0" fontId="35" fillId="0" borderId="0" xfId="0" applyNumberFormat="1" applyFont="1" applyFill="1" applyBorder="1" applyAlignment="1">
      <alignment horizontal="left" vertical="top"/>
    </xf>
    <xf numFmtId="0" fontId="35" fillId="0" borderId="0" xfId="0" quotePrefix="1" applyNumberFormat="1" applyFont="1" applyFill="1" applyBorder="1" applyAlignment="1">
      <alignment horizontal="left" vertical="center"/>
    </xf>
    <xf numFmtId="0" fontId="35" fillId="0" borderId="0" xfId="0" applyFont="1" applyFill="1" applyBorder="1" applyAlignment="1">
      <alignment vertical="center"/>
    </xf>
    <xf numFmtId="0" fontId="114" fillId="0" borderId="0" xfId="0" applyFont="1" applyFill="1" applyBorder="1" applyAlignment="1">
      <alignment vertical="center"/>
    </xf>
    <xf numFmtId="0" fontId="114" fillId="0" borderId="0" xfId="0" applyFont="1" applyFill="1" applyBorder="1" applyAlignment="1">
      <alignment horizontal="left" indent="1"/>
    </xf>
    <xf numFmtId="0" fontId="114" fillId="0" borderId="0" xfId="0" applyFont="1" applyFill="1" applyBorder="1" applyAlignment="1">
      <alignment horizontal="left" vertical="center"/>
    </xf>
    <xf numFmtId="0" fontId="32" fillId="0" borderId="0" xfId="0" applyFont="1" applyFill="1" applyBorder="1" applyAlignment="1">
      <alignment vertical="center"/>
    </xf>
    <xf numFmtId="166" fontId="35" fillId="0" borderId="0" xfId="0" applyNumberFormat="1" applyFont="1" applyFill="1" applyBorder="1" applyAlignment="1">
      <alignment vertical="center"/>
    </xf>
    <xf numFmtId="168" fontId="118" fillId="0" borderId="0" xfId="0" quotePrefix="1" applyNumberFormat="1" applyFont="1" applyFill="1" applyAlignment="1">
      <alignment horizontal="left" vertical="top"/>
    </xf>
    <xf numFmtId="165" fontId="118" fillId="0" borderId="0" xfId="0" applyNumberFormat="1" applyFont="1" applyFill="1" applyAlignment="1">
      <alignment vertical="top"/>
    </xf>
    <xf numFmtId="165" fontId="32" fillId="0" borderId="0" xfId="0" applyNumberFormat="1" applyFont="1" applyFill="1" applyAlignment="1">
      <alignment vertical="top"/>
    </xf>
    <xf numFmtId="166" fontId="32" fillId="0" borderId="0" xfId="0" applyNumberFormat="1" applyFont="1" applyFill="1" applyBorder="1"/>
    <xf numFmtId="2" fontId="32" fillId="0" borderId="0" xfId="0" applyNumberFormat="1" applyFont="1" applyFill="1" applyAlignment="1">
      <alignment horizontal="center" vertical="center"/>
    </xf>
    <xf numFmtId="166" fontId="32" fillId="0" borderId="0" xfId="1" applyNumberFormat="1" applyFont="1" applyFill="1" applyAlignment="1">
      <alignment vertical="center"/>
    </xf>
    <xf numFmtId="0" fontId="32" fillId="0" borderId="0" xfId="0" applyFont="1" applyFill="1" applyAlignment="1">
      <alignment horizontal="left" vertical="center"/>
    </xf>
    <xf numFmtId="171" fontId="35" fillId="0" borderId="0" xfId="0" applyNumberFormat="1" applyFont="1" applyFill="1" applyAlignment="1">
      <alignment horizontal="left" vertical="center"/>
    </xf>
    <xf numFmtId="166" fontId="118" fillId="0" borderId="0" xfId="0" applyNumberFormat="1" applyFont="1" applyFill="1" applyBorder="1" applyAlignment="1">
      <alignment horizontal="center" vertical="center"/>
    </xf>
    <xf numFmtId="166" fontId="35" fillId="0" borderId="0" xfId="0" applyNumberFormat="1" applyFont="1" applyFill="1" applyBorder="1" applyAlignment="1">
      <alignment horizontal="center" vertical="center"/>
    </xf>
    <xf numFmtId="171" fontId="35" fillId="0" borderId="0" xfId="0" applyNumberFormat="1" applyFont="1" applyFill="1" applyAlignment="1">
      <alignment horizontal="left"/>
    </xf>
    <xf numFmtId="0" fontId="118" fillId="0" borderId="0" xfId="0" applyFont="1" applyFill="1" applyBorder="1" applyAlignment="1">
      <alignment horizontal="center" vertical="center"/>
    </xf>
    <xf numFmtId="171" fontId="114" fillId="0" borderId="0" xfId="0" applyNumberFormat="1" applyFont="1" applyFill="1" applyAlignment="1">
      <alignment horizontal="left" vertical="center"/>
    </xf>
    <xf numFmtId="169" fontId="32" fillId="0" borderId="0" xfId="0" applyNumberFormat="1" applyFont="1" applyFill="1" applyBorder="1" applyAlignment="1">
      <alignment horizontal="left"/>
    </xf>
    <xf numFmtId="165" fontId="32" fillId="0" borderId="0" xfId="0" applyNumberFormat="1" applyFont="1" applyFill="1" applyAlignment="1">
      <alignment vertical="center"/>
    </xf>
    <xf numFmtId="0" fontId="118" fillId="0" borderId="0" xfId="0" applyFont="1" applyFill="1" applyBorder="1" applyAlignment="1">
      <alignment vertical="center"/>
    </xf>
    <xf numFmtId="0" fontId="118" fillId="0" borderId="10" xfId="0" applyFont="1" applyFill="1" applyBorder="1" applyAlignment="1">
      <alignment horizontal="center" vertical="center" wrapText="1"/>
    </xf>
    <xf numFmtId="0" fontId="32" fillId="0" borderId="0" xfId="0" applyFont="1" applyFill="1" applyBorder="1" applyAlignment="1">
      <alignment horizontal="left"/>
    </xf>
    <xf numFmtId="0" fontId="121" fillId="0" borderId="0" xfId="0" applyFont="1" applyFill="1" applyAlignment="1"/>
    <xf numFmtId="169" fontId="118" fillId="0" borderId="0" xfId="0" quotePrefix="1" applyNumberFormat="1" applyFont="1" applyFill="1" applyAlignment="1">
      <alignment horizontal="left"/>
    </xf>
    <xf numFmtId="169" fontId="32" fillId="0" borderId="0" xfId="0" applyNumberFormat="1" applyFont="1" applyFill="1" applyAlignment="1">
      <alignment horizontal="left"/>
    </xf>
    <xf numFmtId="171" fontId="118" fillId="0" borderId="0" xfId="0" applyNumberFormat="1" applyFont="1" applyFill="1" applyAlignment="1">
      <alignment horizontal="left"/>
    </xf>
    <xf numFmtId="166" fontId="32" fillId="0" borderId="0" xfId="1" applyNumberFormat="1" applyFont="1" applyFill="1" applyBorder="1" applyAlignment="1">
      <alignment horizontal="center" vertical="center"/>
    </xf>
    <xf numFmtId="171" fontId="32" fillId="0" borderId="0" xfId="0" applyNumberFormat="1" applyFont="1" applyFill="1" applyAlignment="1">
      <alignment horizontal="left"/>
    </xf>
    <xf numFmtId="166" fontId="114" fillId="0" borderId="0" xfId="0" applyNumberFormat="1" applyFont="1" applyFill="1" applyBorder="1" applyAlignment="1">
      <alignment horizontal="justify" vertical="top" wrapText="1"/>
    </xf>
    <xf numFmtId="41" fontId="35" fillId="0" borderId="0" xfId="0" applyNumberFormat="1" applyFont="1" applyFill="1" applyBorder="1" applyAlignment="1"/>
    <xf numFmtId="41" fontId="114" fillId="0" borderId="0" xfId="0" applyNumberFormat="1" applyFont="1" applyFill="1" applyBorder="1" applyAlignment="1"/>
    <xf numFmtId="0" fontId="35" fillId="0" borderId="0" xfId="0" applyNumberFormat="1" applyFont="1" applyFill="1" applyAlignment="1">
      <alignment horizontal="center" vertical="center" wrapText="1"/>
    </xf>
    <xf numFmtId="0" fontId="35" fillId="0" borderId="0" xfId="0" applyNumberFormat="1" applyFont="1" applyFill="1" applyAlignment="1">
      <alignment horizontal="left"/>
    </xf>
    <xf numFmtId="0" fontId="114" fillId="0" borderId="0" xfId="0" applyFont="1" applyFill="1" applyBorder="1" applyAlignment="1">
      <alignment horizontal="center" vertical="top" wrapText="1"/>
    </xf>
    <xf numFmtId="0" fontId="114" fillId="0" borderId="0" xfId="0" quotePrefix="1" applyFont="1" applyFill="1" applyAlignment="1">
      <alignment horizontal="left" indent="1"/>
    </xf>
    <xf numFmtId="0" fontId="35" fillId="0" borderId="0" xfId="0" applyNumberFormat="1" applyFont="1" applyFill="1" applyAlignment="1">
      <alignment horizontal="left" vertical="center"/>
    </xf>
    <xf numFmtId="0" fontId="114" fillId="0" borderId="0" xfId="0" applyFont="1" applyFill="1" applyAlignment="1">
      <alignment horizontal="left" vertical="center"/>
    </xf>
    <xf numFmtId="0" fontId="32" fillId="0" borderId="0" xfId="0" applyNumberFormat="1" applyFont="1" applyFill="1" applyAlignment="1" applyProtection="1">
      <alignment horizontal="justify" vertical="top" wrapText="1"/>
      <protection locked="0"/>
    </xf>
    <xf numFmtId="168" fontId="35" fillId="0" borderId="0" xfId="0" quotePrefix="1" applyNumberFormat="1" applyFont="1" applyFill="1" applyAlignment="1">
      <alignment horizontal="left" vertical="top"/>
    </xf>
    <xf numFmtId="166" fontId="114" fillId="0" borderId="0" xfId="1" applyNumberFormat="1" applyFont="1" applyFill="1"/>
    <xf numFmtId="193" fontId="114" fillId="0" borderId="0" xfId="0" applyNumberFormat="1" applyFont="1" applyFill="1"/>
    <xf numFmtId="198" fontId="114" fillId="0" borderId="0" xfId="0" applyNumberFormat="1" applyFont="1" applyFill="1"/>
    <xf numFmtId="168" fontId="114" fillId="0" borderId="0" xfId="0" quotePrefix="1" applyNumberFormat="1" applyFont="1" applyFill="1" applyAlignment="1">
      <alignment horizontal="center"/>
    </xf>
    <xf numFmtId="0" fontId="114" fillId="0" borderId="0" xfId="0" applyNumberFormat="1" applyFont="1" applyFill="1" applyAlignment="1" applyProtection="1">
      <alignment vertical="top"/>
    </xf>
    <xf numFmtId="0" fontId="122" fillId="0" borderId="0" xfId="0" applyNumberFormat="1" applyFont="1" applyFill="1" applyAlignment="1"/>
    <xf numFmtId="0" fontId="122" fillId="0" borderId="0" xfId="0" applyFont="1" applyFill="1" applyBorder="1"/>
    <xf numFmtId="0" fontId="35" fillId="0" borderId="0" xfId="0" applyFont="1" applyFill="1" applyAlignment="1" applyProtection="1">
      <alignment vertical="top"/>
    </xf>
    <xf numFmtId="0" fontId="114" fillId="0" borderId="0" xfId="0" quotePrefix="1" applyNumberFormat="1" applyFont="1" applyFill="1" applyAlignment="1" applyProtection="1">
      <alignment vertical="top"/>
    </xf>
    <xf numFmtId="0" fontId="122" fillId="0" borderId="0" xfId="0" applyFont="1" applyFill="1" applyBorder="1" applyAlignment="1"/>
    <xf numFmtId="0" fontId="114" fillId="0" borderId="0" xfId="0" applyFont="1" applyFill="1" applyBorder="1" applyAlignment="1"/>
    <xf numFmtId="0" fontId="122" fillId="0" borderId="0" xfId="0" applyNumberFormat="1" applyFont="1" applyFill="1" applyBorder="1" applyAlignment="1"/>
    <xf numFmtId="1" fontId="35" fillId="0" borderId="0" xfId="0" quotePrefix="1" applyNumberFormat="1" applyFont="1" applyFill="1" applyBorder="1" applyAlignment="1">
      <alignment horizontal="left"/>
    </xf>
    <xf numFmtId="166" fontId="122" fillId="0" borderId="0" xfId="1" applyNumberFormat="1" applyFont="1" applyFill="1" applyBorder="1"/>
    <xf numFmtId="0" fontId="114" fillId="0" borderId="0" xfId="0" applyNumberFormat="1" applyFont="1" applyFill="1" applyBorder="1" applyAlignment="1"/>
    <xf numFmtId="10" fontId="114" fillId="0" borderId="0" xfId="3" applyNumberFormat="1" applyFont="1" applyFill="1" applyBorder="1"/>
    <xf numFmtId="0" fontId="120" fillId="0" borderId="0" xfId="0" quotePrefix="1" applyFont="1" applyFill="1" applyBorder="1" applyAlignment="1">
      <alignment wrapText="1"/>
    </xf>
    <xf numFmtId="0" fontId="35" fillId="0" borderId="0" xfId="0" applyFont="1" applyFill="1" applyBorder="1"/>
    <xf numFmtId="0" fontId="35" fillId="0" borderId="0" xfId="0" quotePrefix="1" applyFont="1" applyFill="1" applyBorder="1" applyAlignment="1">
      <alignment wrapText="1"/>
    </xf>
    <xf numFmtId="0" fontId="120" fillId="0" borderId="0" xfId="0" applyFont="1" applyFill="1" applyBorder="1"/>
    <xf numFmtId="166" fontId="122" fillId="0" borderId="0" xfId="0" applyNumberFormat="1" applyFont="1" applyFill="1" applyBorder="1" applyAlignment="1"/>
    <xf numFmtId="166" fontId="35" fillId="0" borderId="0" xfId="1" quotePrefix="1" applyNumberFormat="1" applyFont="1" applyFill="1" applyBorder="1" applyAlignment="1">
      <alignment wrapText="1"/>
    </xf>
    <xf numFmtId="166" fontId="35" fillId="0" borderId="0" xfId="0" quotePrefix="1" applyNumberFormat="1" applyFont="1" applyFill="1" applyBorder="1" applyAlignment="1">
      <alignment wrapText="1"/>
    </xf>
    <xf numFmtId="166" fontId="120" fillId="0" borderId="0" xfId="0" applyNumberFormat="1" applyFont="1" applyFill="1" applyBorder="1"/>
    <xf numFmtId="166" fontId="122" fillId="0" borderId="0" xfId="0" applyNumberFormat="1" applyFont="1" applyFill="1" applyBorder="1"/>
    <xf numFmtId="166" fontId="114" fillId="0" borderId="0" xfId="0" quotePrefix="1" applyNumberFormat="1" applyFont="1" applyFill="1" applyBorder="1" applyAlignment="1">
      <alignment wrapText="1"/>
    </xf>
    <xf numFmtId="0" fontId="114" fillId="0" borderId="0" xfId="0" quotePrefix="1" applyFont="1" applyFill="1" applyBorder="1" applyAlignment="1">
      <alignment wrapText="1"/>
    </xf>
    <xf numFmtId="166" fontId="120" fillId="0" borderId="0" xfId="0" quotePrefix="1" applyNumberFormat="1" applyFont="1" applyFill="1" applyBorder="1" applyAlignment="1">
      <alignment wrapText="1"/>
    </xf>
    <xf numFmtId="0" fontId="120" fillId="0" borderId="0" xfId="0" quotePrefix="1" applyFont="1" applyFill="1" applyBorder="1" applyAlignment="1"/>
    <xf numFmtId="0" fontId="32" fillId="0" borderId="0" xfId="0" quotePrefix="1" applyFont="1" applyFill="1" applyBorder="1"/>
    <xf numFmtId="0" fontId="32" fillId="0" borderId="7" xfId="0" applyFont="1" applyFill="1" applyBorder="1"/>
    <xf numFmtId="0" fontId="114" fillId="0" borderId="0" xfId="0" applyNumberFormat="1" applyFont="1" applyFill="1" applyAlignment="1" applyProtection="1">
      <alignment horizontal="center" vertical="top"/>
    </xf>
    <xf numFmtId="0" fontId="35" fillId="0" borderId="0" xfId="0" applyFont="1" applyFill="1" applyBorder="1" applyAlignment="1">
      <alignment horizontal="left"/>
    </xf>
    <xf numFmtId="166" fontId="120" fillId="0" borderId="0" xfId="0" applyNumberFormat="1" applyFont="1" applyFill="1" applyBorder="1" applyAlignment="1"/>
    <xf numFmtId="168" fontId="114" fillId="0" borderId="0" xfId="0" applyNumberFormat="1" applyFont="1" applyFill="1" applyBorder="1" applyAlignment="1">
      <alignment horizontal="center"/>
    </xf>
    <xf numFmtId="168" fontId="32" fillId="0" borderId="0" xfId="0" applyNumberFormat="1" applyFont="1" applyFill="1" applyBorder="1" applyAlignment="1">
      <alignment horizontal="center"/>
    </xf>
    <xf numFmtId="0" fontId="35" fillId="0" borderId="0" xfId="0" quotePrefix="1" applyNumberFormat="1" applyFont="1" applyFill="1" applyAlignment="1">
      <alignment horizontal="left" vertical="top"/>
    </xf>
    <xf numFmtId="0" fontId="35" fillId="0" borderId="0" xfId="0" quotePrefix="1" applyFont="1" applyFill="1" applyAlignment="1">
      <alignment vertical="top" wrapText="1"/>
    </xf>
    <xf numFmtId="49" fontId="35" fillId="0" borderId="0" xfId="0" quotePrefix="1" applyNumberFormat="1" applyFont="1" applyFill="1" applyBorder="1" applyAlignment="1">
      <alignment horizontal="center" vertical="center"/>
    </xf>
    <xf numFmtId="16" fontId="35" fillId="0" borderId="0" xfId="0" quotePrefix="1" applyNumberFormat="1" applyFont="1" applyFill="1" applyBorder="1" applyAlignment="1">
      <alignment horizontal="center" vertical="center"/>
    </xf>
    <xf numFmtId="0" fontId="35" fillId="0" borderId="0" xfId="0" quotePrefix="1" applyNumberFormat="1" applyFont="1" applyFill="1" applyBorder="1" applyAlignment="1">
      <alignment horizontal="center" vertical="top"/>
    </xf>
    <xf numFmtId="0" fontId="32" fillId="0" borderId="0" xfId="0" quotePrefix="1" applyFont="1" applyFill="1" applyBorder="1" applyAlignment="1">
      <alignment horizontal="center" vertical="center"/>
    </xf>
    <xf numFmtId="0" fontId="35" fillId="0" borderId="0" xfId="0" quotePrefix="1" applyNumberFormat="1" applyFont="1" applyFill="1" applyAlignment="1">
      <alignment horizontal="center" vertical="top"/>
    </xf>
    <xf numFmtId="0" fontId="32" fillId="0" borderId="0" xfId="0" quotePrefix="1" applyFont="1" applyFill="1" applyAlignment="1">
      <alignment horizontal="center" vertical="top"/>
    </xf>
    <xf numFmtId="166" fontId="114" fillId="0" borderId="0" xfId="0" applyNumberFormat="1" applyFont="1" applyFill="1" applyAlignment="1">
      <alignment horizontal="left" indent="1"/>
    </xf>
    <xf numFmtId="0" fontId="35" fillId="0" borderId="0" xfId="0" quotePrefix="1" applyNumberFormat="1" applyFont="1" applyFill="1" applyAlignment="1">
      <alignment vertical="center"/>
    </xf>
    <xf numFmtId="0" fontId="32" fillId="0" borderId="0" xfId="0" applyNumberFormat="1" applyFont="1" applyFill="1" applyAlignment="1"/>
    <xf numFmtId="41" fontId="114" fillId="0" borderId="0" xfId="0" applyNumberFormat="1" applyFont="1" applyFill="1" applyBorder="1" applyAlignment="1">
      <alignment horizontal="center"/>
    </xf>
    <xf numFmtId="0" fontId="32" fillId="0" borderId="103" xfId="0" applyFont="1" applyFill="1" applyBorder="1" applyAlignment="1"/>
    <xf numFmtId="0" fontId="32" fillId="0" borderId="102" xfId="0" applyFont="1" applyFill="1" applyBorder="1" applyAlignment="1"/>
    <xf numFmtId="15" fontId="32" fillId="0" borderId="102" xfId="0" applyNumberFormat="1" applyFont="1" applyFill="1" applyBorder="1" applyAlignment="1"/>
    <xf numFmtId="15" fontId="32" fillId="0" borderId="105" xfId="0" applyNumberFormat="1" applyFont="1" applyFill="1" applyBorder="1" applyAlignment="1"/>
    <xf numFmtId="0" fontId="32" fillId="0" borderId="16" xfId="0" applyFont="1" applyFill="1" applyBorder="1" applyAlignment="1"/>
    <xf numFmtId="0" fontId="32" fillId="0" borderId="0" xfId="0" applyFont="1" applyFill="1" applyBorder="1" applyAlignment="1"/>
    <xf numFmtId="0" fontId="32" fillId="0" borderId="17" xfId="0" applyFont="1" applyFill="1" applyBorder="1" applyAlignment="1"/>
    <xf numFmtId="0" fontId="122" fillId="0" borderId="17" xfId="0" applyFont="1" applyFill="1" applyBorder="1" applyAlignment="1"/>
    <xf numFmtId="166" fontId="32" fillId="0" borderId="0" xfId="0" applyNumberFormat="1" applyFont="1" applyFill="1" applyBorder="1" applyAlignment="1"/>
    <xf numFmtId="10" fontId="32" fillId="0" borderId="0" xfId="0" applyNumberFormat="1" applyFont="1" applyFill="1" applyBorder="1" applyAlignment="1"/>
    <xf numFmtId="0" fontId="32" fillId="0" borderId="18" xfId="0" applyFont="1" applyFill="1" applyBorder="1" applyAlignment="1"/>
    <xf numFmtId="0" fontId="32" fillId="0" borderId="100" xfId="0" applyFont="1" applyFill="1" applyBorder="1" applyAlignment="1"/>
    <xf numFmtId="10" fontId="32" fillId="0" borderId="100" xfId="0" applyNumberFormat="1" applyFont="1" applyFill="1" applyBorder="1" applyAlignment="1"/>
    <xf numFmtId="0" fontId="32" fillId="0" borderId="19" xfId="0" applyFont="1" applyFill="1" applyBorder="1" applyAlignment="1"/>
    <xf numFmtId="0" fontId="35" fillId="0" borderId="0" xfId="0" applyFont="1" applyFill="1"/>
    <xf numFmtId="0" fontId="35" fillId="0" borderId="0" xfId="0" quotePrefix="1" applyNumberFormat="1" applyFont="1" applyFill="1" applyAlignment="1">
      <alignment horizontal="left"/>
    </xf>
    <xf numFmtId="0" fontId="32" fillId="0" borderId="0" xfId="0" applyFont="1" applyFill="1" applyAlignment="1">
      <alignment vertical="top" wrapText="1"/>
    </xf>
    <xf numFmtId="9" fontId="114" fillId="0" borderId="0" xfId="3" applyFont="1" applyFill="1" applyAlignment="1">
      <alignment vertical="top"/>
    </xf>
    <xf numFmtId="0" fontId="35" fillId="0" borderId="0" xfId="0" quotePrefix="1" applyFont="1" applyFill="1" applyAlignment="1">
      <alignment vertical="top"/>
    </xf>
    <xf numFmtId="0" fontId="35" fillId="0" borderId="0" xfId="0" applyFont="1" applyFill="1" applyAlignment="1">
      <alignment horizontal="left" vertical="top"/>
    </xf>
    <xf numFmtId="0" fontId="35" fillId="0" borderId="0" xfId="0" applyNumberFormat="1" applyFont="1" applyFill="1" applyAlignment="1">
      <alignment horizontal="left" vertical="top"/>
    </xf>
    <xf numFmtId="0" fontId="35" fillId="0" borderId="0" xfId="0" quotePrefix="1" applyFont="1" applyFill="1" applyBorder="1" applyAlignment="1">
      <alignment vertical="top" wrapText="1"/>
    </xf>
    <xf numFmtId="16" fontId="35" fillId="0" borderId="0" xfId="0" quotePrefix="1" applyNumberFormat="1" applyFont="1" applyFill="1" applyBorder="1" applyAlignment="1">
      <alignment vertical="top"/>
    </xf>
    <xf numFmtId="15" fontId="35" fillId="0" borderId="0" xfId="0" applyNumberFormat="1" applyFont="1" applyFill="1" applyAlignment="1">
      <alignment vertical="top"/>
    </xf>
    <xf numFmtId="0" fontId="114" fillId="0" borderId="0" xfId="0" applyFont="1" applyFill="1" applyAlignment="1">
      <alignment horizontal="left"/>
    </xf>
    <xf numFmtId="166" fontId="35" fillId="0" borderId="0" xfId="0" quotePrefix="1" applyNumberFormat="1" applyFont="1" applyFill="1" applyBorder="1" applyAlignment="1">
      <alignment horizontal="center"/>
    </xf>
    <xf numFmtId="0" fontId="114" fillId="0" borderId="0" xfId="0" applyFont="1" applyFill="1" applyAlignment="1"/>
    <xf numFmtId="0" fontId="35" fillId="0" borderId="0" xfId="0" applyFont="1" applyFill="1" applyBorder="1" applyAlignment="1">
      <alignment vertical="top"/>
    </xf>
    <xf numFmtId="166" fontId="35" fillId="0" borderId="0" xfId="0" applyNumberFormat="1" applyFont="1" applyFill="1" applyBorder="1" applyAlignment="1">
      <alignment horizontal="center" vertical="top"/>
    </xf>
    <xf numFmtId="166" fontId="35" fillId="0" borderId="0" xfId="0" applyNumberFormat="1" applyFont="1" applyFill="1" applyBorder="1" applyAlignment="1">
      <alignment vertical="top"/>
    </xf>
    <xf numFmtId="0" fontId="35" fillId="0" borderId="0" xfId="0" applyNumberFormat="1" applyFont="1" applyFill="1" applyBorder="1" applyAlignment="1">
      <alignment vertical="top"/>
    </xf>
    <xf numFmtId="0" fontId="114" fillId="0" borderId="0" xfId="0" applyFont="1" applyFill="1" applyAlignment="1">
      <alignment vertical="top"/>
    </xf>
    <xf numFmtId="166" fontId="114" fillId="0" borderId="0" xfId="0" applyNumberFormat="1" applyFont="1" applyFill="1" applyBorder="1" applyAlignment="1">
      <alignment horizontal="left" vertical="center"/>
    </xf>
    <xf numFmtId="0" fontId="35" fillId="0" borderId="0" xfId="0" applyFont="1" applyFill="1" applyAlignment="1">
      <alignment vertical="top"/>
    </xf>
    <xf numFmtId="37" fontId="35" fillId="0" borderId="0" xfId="0" applyNumberFormat="1" applyFont="1" applyFill="1" applyBorder="1" applyProtection="1"/>
    <xf numFmtId="0" fontId="114" fillId="0" borderId="0" xfId="0" applyFont="1" applyFill="1" applyBorder="1" applyAlignment="1">
      <alignment horizontal="center"/>
    </xf>
    <xf numFmtId="0" fontId="124" fillId="0" borderId="0" xfId="0" applyFont="1" applyFill="1" applyBorder="1" applyAlignment="1">
      <alignment horizontal="center"/>
    </xf>
    <xf numFmtId="166" fontId="124" fillId="0" borderId="0" xfId="1" applyNumberFormat="1" applyFont="1" applyFill="1" applyBorder="1" applyAlignment="1">
      <alignment horizontal="center"/>
    </xf>
    <xf numFmtId="166" fontId="35" fillId="0" borderId="0" xfId="0" applyNumberFormat="1" applyFont="1" applyFill="1" applyBorder="1"/>
    <xf numFmtId="0" fontId="124" fillId="0" borderId="0" xfId="0" applyFont="1" applyFill="1" applyAlignment="1">
      <alignment horizontal="center"/>
    </xf>
    <xf numFmtId="37" fontId="114" fillId="0" borderId="0" xfId="0" applyNumberFormat="1" applyFont="1" applyFill="1" applyBorder="1" applyProtection="1"/>
    <xf numFmtId="43" fontId="114" fillId="0" borderId="0" xfId="1" applyFont="1" applyFill="1" applyAlignment="1">
      <alignment horizontal="center"/>
    </xf>
    <xf numFmtId="37" fontId="114" fillId="0" borderId="0" xfId="0" quotePrefix="1" applyNumberFormat="1" applyFont="1" applyFill="1" applyProtection="1"/>
    <xf numFmtId="0" fontId="114" fillId="0" borderId="0" xfId="0" applyFont="1" applyFill="1" applyAlignment="1">
      <alignment vertical="center"/>
    </xf>
    <xf numFmtId="166" fontId="114" fillId="0" borderId="5" xfId="0" applyNumberFormat="1" applyFont="1" applyFill="1" applyBorder="1" applyAlignment="1">
      <alignment horizontal="center" vertical="center"/>
    </xf>
    <xf numFmtId="0" fontId="35" fillId="0" borderId="0" xfId="0" applyNumberFormat="1" applyFont="1" applyFill="1" applyAlignment="1">
      <alignment vertical="center"/>
    </xf>
    <xf numFmtId="0" fontId="117" fillId="0" borderId="0" xfId="0" applyNumberFormat="1" applyFont="1" applyFill="1" applyAlignment="1">
      <alignment horizontal="center" vertical="center"/>
    </xf>
    <xf numFmtId="0" fontId="124" fillId="0" borderId="0" xfId="0" applyNumberFormat="1" applyFont="1" applyFill="1"/>
    <xf numFmtId="0" fontId="124" fillId="0" borderId="0" xfId="0" applyFont="1" applyFill="1"/>
    <xf numFmtId="0" fontId="114" fillId="0" borderId="0" xfId="0" applyFont="1" applyFill="1" applyAlignment="1">
      <alignment horizontal="center" vertical="top" wrapText="1"/>
    </xf>
    <xf numFmtId="166" fontId="32" fillId="0" borderId="0" xfId="0" applyNumberFormat="1" applyFont="1" applyFill="1"/>
    <xf numFmtId="0" fontId="32" fillId="0" borderId="0" xfId="0" applyFont="1" applyFill="1" applyAlignment="1">
      <alignment horizontal="left" indent="1"/>
    </xf>
    <xf numFmtId="166" fontId="32" fillId="0" borderId="0" xfId="0" applyNumberFormat="1" applyFont="1" applyFill="1" applyAlignment="1">
      <alignment vertical="center"/>
    </xf>
    <xf numFmtId="0" fontId="32" fillId="0" borderId="0" xfId="0" applyFont="1" applyFill="1" applyBorder="1" applyAlignment="1">
      <alignment horizontal="center"/>
    </xf>
    <xf numFmtId="165" fontId="32" fillId="0" borderId="0" xfId="0" applyNumberFormat="1" applyFont="1" applyFill="1"/>
    <xf numFmtId="0" fontId="118" fillId="0" borderId="0" xfId="0" applyFont="1" applyFill="1" applyAlignment="1"/>
    <xf numFmtId="0" fontId="32" fillId="0" borderId="0" xfId="0" applyFont="1" applyFill="1" applyAlignment="1">
      <alignment vertical="top"/>
    </xf>
    <xf numFmtId="166" fontId="114" fillId="0" borderId="0" xfId="0" applyNumberFormat="1" applyFont="1" applyFill="1" applyBorder="1" applyAlignment="1">
      <alignment horizontal="right" vertical="top"/>
    </xf>
    <xf numFmtId="0" fontId="32" fillId="0" borderId="0" xfId="0" applyFont="1" applyFill="1" applyAlignment="1"/>
    <xf numFmtId="166" fontId="32" fillId="0" borderId="0" xfId="0" applyNumberFormat="1" applyFont="1" applyFill="1" applyAlignment="1"/>
    <xf numFmtId="0" fontId="118" fillId="0" borderId="0" xfId="0" applyNumberFormat="1" applyFont="1" applyFill="1" applyAlignment="1">
      <alignment horizontal="left" vertical="center"/>
    </xf>
    <xf numFmtId="0" fontId="118" fillId="0" borderId="0" xfId="0" applyNumberFormat="1" applyFont="1" applyFill="1" applyAlignment="1">
      <alignment vertical="center"/>
    </xf>
    <xf numFmtId="0" fontId="118" fillId="0" borderId="0" xfId="0" applyNumberFormat="1" applyFont="1" applyFill="1" applyAlignment="1">
      <alignment horizontal="center" vertical="center"/>
    </xf>
    <xf numFmtId="0" fontId="32" fillId="0" borderId="0" xfId="0" applyNumberFormat="1" applyFont="1" applyFill="1"/>
    <xf numFmtId="0" fontId="118" fillId="0" borderId="0" xfId="0" applyNumberFormat="1" applyFont="1" applyFill="1"/>
    <xf numFmtId="0" fontId="32" fillId="0" borderId="0" xfId="0" applyFont="1" applyFill="1" applyAlignment="1">
      <alignment horizontal="center" vertical="top" wrapText="1"/>
    </xf>
    <xf numFmtId="0" fontId="114" fillId="0" borderId="0" xfId="0" applyFont="1" applyFill="1"/>
    <xf numFmtId="166" fontId="114" fillId="0" borderId="0" xfId="0" applyNumberFormat="1" applyFont="1" applyFill="1" applyBorder="1" applyAlignment="1"/>
    <xf numFmtId="0" fontId="114" fillId="0" borderId="0" xfId="0" applyNumberFormat="1" applyFont="1" applyFill="1" applyBorder="1"/>
    <xf numFmtId="0" fontId="114" fillId="0" borderId="0" xfId="0" applyFont="1" applyFill="1" applyBorder="1"/>
    <xf numFmtId="166" fontId="114" fillId="0" borderId="3" xfId="0" applyNumberFormat="1" applyFont="1" applyFill="1" applyBorder="1" applyAlignment="1"/>
    <xf numFmtId="0" fontId="114" fillId="0" borderId="0" xfId="0" applyFont="1" applyFill="1" applyBorder="1" applyAlignment="1">
      <alignment vertical="top"/>
    </xf>
    <xf numFmtId="166" fontId="114" fillId="0" borderId="0" xfId="0" applyNumberFormat="1" applyFont="1" applyFill="1" applyBorder="1" applyAlignment="1">
      <alignment vertical="top"/>
    </xf>
    <xf numFmtId="0" fontId="114" fillId="0" borderId="0" xfId="0" applyNumberFormat="1" applyFont="1" applyFill="1"/>
    <xf numFmtId="0" fontId="114" fillId="0" borderId="0" xfId="0" applyNumberFormat="1" applyFont="1" applyFill="1" applyAlignment="1">
      <alignment vertical="top"/>
    </xf>
    <xf numFmtId="0" fontId="114" fillId="0" borderId="0" xfId="0" applyNumberFormat="1" applyFont="1" applyFill="1" applyAlignment="1">
      <alignment vertical="center"/>
    </xf>
    <xf numFmtId="0" fontId="114" fillId="0" borderId="0" xfId="0" quotePrefix="1" applyNumberFormat="1" applyFont="1" applyFill="1"/>
    <xf numFmtId="2" fontId="114" fillId="0" borderId="0" xfId="0" applyNumberFormat="1" applyFont="1" applyFill="1"/>
    <xf numFmtId="0" fontId="35" fillId="0" borderId="0" xfId="0" applyNumberFormat="1" applyFont="1" applyFill="1" applyAlignment="1">
      <alignment horizontal="center"/>
    </xf>
    <xf numFmtId="43" fontId="114" fillId="0" borderId="0" xfId="0" applyNumberFormat="1" applyFont="1" applyFill="1"/>
    <xf numFmtId="165" fontId="114" fillId="0" borderId="0" xfId="0" applyNumberFormat="1" applyFont="1" applyFill="1"/>
    <xf numFmtId="166" fontId="114" fillId="0" borderId="0" xfId="0" applyNumberFormat="1" applyFont="1" applyFill="1" applyAlignment="1"/>
    <xf numFmtId="0" fontId="35" fillId="0" borderId="0" xfId="0" applyFont="1" applyFill="1" applyAlignment="1"/>
    <xf numFmtId="165" fontId="35" fillId="0" borderId="0" xfId="0" applyNumberFormat="1" applyFont="1" applyFill="1" applyAlignment="1"/>
    <xf numFmtId="16" fontId="35" fillId="0" borderId="0" xfId="0" quotePrefix="1" applyNumberFormat="1" applyFont="1" applyFill="1" applyAlignment="1">
      <alignment vertical="top"/>
    </xf>
    <xf numFmtId="0" fontId="35" fillId="0" borderId="0" xfId="0" quotePrefix="1" applyFont="1" applyFill="1"/>
    <xf numFmtId="166" fontId="35" fillId="0" borderId="0" xfId="0" applyNumberFormat="1" applyFont="1" applyFill="1"/>
    <xf numFmtId="37" fontId="114" fillId="0" borderId="0" xfId="0" applyNumberFormat="1" applyFont="1" applyFill="1"/>
    <xf numFmtId="0" fontId="114" fillId="0" borderId="0" xfId="0" quotePrefix="1" applyFont="1" applyFill="1" applyAlignment="1"/>
    <xf numFmtId="0" fontId="114" fillId="0" borderId="0" xfId="0" applyFont="1" applyFill="1" applyAlignment="1">
      <alignment horizontal="left" indent="1"/>
    </xf>
    <xf numFmtId="0" fontId="114" fillId="0" borderId="0" xfId="0" quotePrefix="1" applyFont="1" applyFill="1" applyAlignment="1">
      <alignment horizontal="left" indent="2"/>
    </xf>
    <xf numFmtId="0" fontId="114" fillId="0" borderId="0" xfId="0" applyFont="1" applyFill="1" applyAlignment="1">
      <alignment horizontal="left" indent="2"/>
    </xf>
    <xf numFmtId="166" fontId="114" fillId="0" borderId="2" xfId="0" applyNumberFormat="1" applyFont="1" applyFill="1" applyBorder="1"/>
    <xf numFmtId="166" fontId="114" fillId="0" borderId="3" xfId="0" applyNumberFormat="1" applyFont="1" applyFill="1" applyBorder="1"/>
    <xf numFmtId="0" fontId="122" fillId="0" borderId="0" xfId="0" applyFont="1" applyFill="1"/>
    <xf numFmtId="166" fontId="114" fillId="0" borderId="37" xfId="1" applyNumberFormat="1" applyFont="1" applyFill="1" applyBorder="1"/>
    <xf numFmtId="0" fontId="114" fillId="0" borderId="0" xfId="0" applyFont="1" applyFill="1" applyAlignment="1">
      <alignment horizontal="left" vertical="top" indent="1"/>
    </xf>
    <xf numFmtId="165" fontId="114" fillId="0" borderId="0" xfId="0" applyNumberFormat="1" applyFont="1" applyFill="1" applyAlignment="1">
      <alignment vertical="top"/>
    </xf>
    <xf numFmtId="166" fontId="114" fillId="0" borderId="0" xfId="0" applyNumberFormat="1" applyFont="1" applyFill="1" applyAlignment="1">
      <alignment vertical="top"/>
    </xf>
    <xf numFmtId="0" fontId="120" fillId="0" borderId="0" xfId="0" applyFont="1" applyFill="1" applyAlignment="1">
      <alignment vertical="top"/>
    </xf>
    <xf numFmtId="165" fontId="114" fillId="0" borderId="0" xfId="0" applyNumberFormat="1" applyFont="1" applyFill="1" applyAlignment="1">
      <alignment vertical="center"/>
    </xf>
    <xf numFmtId="165" fontId="114" fillId="0" borderId="0" xfId="0" applyNumberFormat="1" applyFont="1" applyFill="1" applyAlignment="1">
      <alignment horizontal="center" vertical="center"/>
    </xf>
    <xf numFmtId="166" fontId="35" fillId="0" borderId="14" xfId="0" applyNumberFormat="1" applyFont="1" applyFill="1" applyBorder="1" applyAlignment="1">
      <alignment horizontal="center"/>
    </xf>
    <xf numFmtId="166" fontId="35" fillId="0" borderId="8" xfId="0" applyNumberFormat="1" applyFont="1" applyFill="1" applyBorder="1" applyAlignment="1">
      <alignment horizontal="center"/>
    </xf>
    <xf numFmtId="166" fontId="35" fillId="0" borderId="15" xfId="0" applyNumberFormat="1" applyFont="1" applyFill="1" applyBorder="1" applyAlignment="1">
      <alignment horizontal="center"/>
    </xf>
    <xf numFmtId="0" fontId="114" fillId="0" borderId="15" xfId="0" applyFont="1" applyFill="1" applyBorder="1"/>
    <xf numFmtId="0" fontId="114" fillId="0" borderId="14" xfId="0" applyFont="1" applyFill="1" applyBorder="1"/>
    <xf numFmtId="0" fontId="114" fillId="0" borderId="17" xfId="0" applyFont="1" applyFill="1" applyBorder="1"/>
    <xf numFmtId="0" fontId="114" fillId="0" borderId="16" xfId="0" applyFont="1" applyFill="1" applyBorder="1"/>
    <xf numFmtId="166" fontId="114" fillId="0" borderId="16" xfId="0" applyNumberFormat="1" applyFont="1" applyFill="1" applyBorder="1" applyAlignment="1">
      <alignment vertical="center"/>
    </xf>
    <xf numFmtId="0" fontId="114" fillId="0" borderId="17" xfId="0" applyFont="1" applyFill="1" applyBorder="1" applyAlignment="1">
      <alignment vertical="center"/>
    </xf>
    <xf numFmtId="166" fontId="114" fillId="0" borderId="17" xfId="0" applyNumberFormat="1" applyFont="1" applyFill="1" applyBorder="1" applyAlignment="1">
      <alignment vertical="center"/>
    </xf>
    <xf numFmtId="165" fontId="114" fillId="0" borderId="0" xfId="0" quotePrefix="1" applyNumberFormat="1" applyFont="1" applyFill="1" applyAlignment="1">
      <alignment horizontal="center"/>
    </xf>
    <xf numFmtId="2" fontId="114" fillId="0" borderId="0" xfId="0" applyNumberFormat="1" applyFont="1" applyFill="1" applyAlignment="1">
      <alignment horizontal="center" vertical="center"/>
    </xf>
    <xf numFmtId="166" fontId="114" fillId="0" borderId="18" xfId="0" applyNumberFormat="1" applyFont="1" applyFill="1" applyBorder="1" applyAlignment="1">
      <alignment vertical="center"/>
    </xf>
    <xf numFmtId="0" fontId="114" fillId="0" borderId="18" xfId="0" applyFont="1" applyFill="1" applyBorder="1" applyAlignment="1">
      <alignment vertical="center"/>
    </xf>
    <xf numFmtId="166" fontId="114" fillId="0" borderId="19" xfId="0" applyNumberFormat="1" applyFont="1" applyFill="1" applyBorder="1" applyAlignment="1">
      <alignment vertical="center"/>
    </xf>
    <xf numFmtId="0" fontId="117" fillId="0" borderId="0" xfId="0" applyFont="1" applyFill="1" applyAlignment="1"/>
    <xf numFmtId="166" fontId="120" fillId="0" borderId="0" xfId="1" applyNumberFormat="1" applyFont="1" applyFill="1"/>
    <xf numFmtId="166" fontId="122" fillId="0" borderId="0" xfId="0" applyNumberFormat="1" applyFont="1" applyFill="1"/>
    <xf numFmtId="0" fontId="120" fillId="0" borderId="0" xfId="0" applyFont="1" applyFill="1"/>
    <xf numFmtId="166" fontId="114" fillId="0" borderId="0" xfId="0" applyNumberFormat="1" applyFont="1" applyFill="1" applyAlignment="1">
      <alignment horizontal="center" vertical="top" wrapText="1"/>
    </xf>
    <xf numFmtId="199" fontId="35" fillId="0" borderId="0" xfId="0" applyNumberFormat="1" applyFont="1" applyFill="1" applyAlignment="1">
      <alignment horizontal="left" vertical="top"/>
    </xf>
    <xf numFmtId="0" fontId="114" fillId="0" borderId="0" xfId="0" quotePrefix="1" applyFont="1" applyFill="1" applyAlignment="1">
      <alignment vertical="top" wrapText="1"/>
    </xf>
    <xf numFmtId="0" fontId="127" fillId="0" borderId="0" xfId="0" applyFont="1" applyFill="1" applyAlignment="1">
      <alignment horizontal="left"/>
    </xf>
    <xf numFmtId="168" fontId="35" fillId="0" borderId="0" xfId="0" quotePrefix="1" applyNumberFormat="1" applyFont="1" applyFill="1" applyAlignment="1">
      <alignment horizontal="left"/>
    </xf>
    <xf numFmtId="166" fontId="114" fillId="0" borderId="2" xfId="0" applyNumberFormat="1" applyFont="1" applyFill="1" applyBorder="1" applyAlignment="1"/>
    <xf numFmtId="166" fontId="114" fillId="0" borderId="4" xfId="0" applyNumberFormat="1" applyFont="1" applyFill="1" applyBorder="1" applyAlignment="1">
      <alignment vertical="top"/>
    </xf>
    <xf numFmtId="166" fontId="114" fillId="0" borderId="0" xfId="0" applyNumberFormat="1" applyFont="1" applyFill="1" applyAlignment="1">
      <alignment vertical="center"/>
    </xf>
    <xf numFmtId="166" fontId="114" fillId="0" borderId="5" xfId="0" applyNumberFormat="1" applyFont="1" applyFill="1" applyBorder="1" applyAlignment="1">
      <alignment vertical="center"/>
    </xf>
    <xf numFmtId="0" fontId="125" fillId="0" borderId="0" xfId="0" quotePrefix="1" applyNumberFormat="1" applyFont="1" applyFill="1" applyAlignment="1">
      <alignment horizontal="left"/>
    </xf>
    <xf numFmtId="0" fontId="126" fillId="0" borderId="0" xfId="0" applyFont="1" applyFill="1"/>
    <xf numFmtId="0" fontId="126" fillId="0" borderId="0" xfId="0" applyNumberFormat="1" applyFont="1" applyFill="1" applyAlignment="1"/>
    <xf numFmtId="0" fontId="35" fillId="0" borderId="0" xfId="0" applyNumberFormat="1" applyFont="1" applyFill="1" applyAlignment="1">
      <alignment vertical="top"/>
    </xf>
    <xf numFmtId="0" fontId="32" fillId="0" borderId="0" xfId="0" applyNumberFormat="1" applyFont="1" applyFill="1" applyAlignment="1">
      <alignment vertical="top"/>
    </xf>
    <xf numFmtId="166" fontId="35" fillId="0" borderId="0" xfId="0" applyNumberFormat="1" applyFont="1" applyFill="1" applyBorder="1" applyAlignment="1">
      <alignment horizontal="center"/>
    </xf>
    <xf numFmtId="0" fontId="32" fillId="0" borderId="0" xfId="0" applyFont="1" applyFill="1" applyAlignment="1">
      <alignment horizontal="left"/>
    </xf>
    <xf numFmtId="0" fontId="114" fillId="0" borderId="0" xfId="0" quotePrefix="1" applyFont="1" applyFill="1" applyBorder="1" applyAlignment="1" applyProtection="1">
      <alignment vertical="top"/>
      <protection locked="0"/>
    </xf>
    <xf numFmtId="0" fontId="32" fillId="0" borderId="0" xfId="0" applyNumberFormat="1" applyFont="1" applyFill="1" applyAlignment="1">
      <alignment horizontal="justify" vertical="top"/>
    </xf>
    <xf numFmtId="0" fontId="35" fillId="0" borderId="0" xfId="0" quotePrefix="1" applyNumberFormat="1" applyFont="1" applyFill="1" applyAlignment="1" applyProtection="1">
      <alignment vertical="top"/>
      <protection locked="0"/>
    </xf>
    <xf numFmtId="0" fontId="32" fillId="0" borderId="0" xfId="0" applyNumberFormat="1" applyFont="1" applyFill="1" applyAlignment="1" applyProtection="1">
      <alignment horizontal="left" vertical="top" wrapText="1"/>
    </xf>
    <xf numFmtId="0" fontId="32" fillId="0" borderId="0" xfId="0" applyFont="1" applyFill="1" applyAlignment="1" applyProtection="1">
      <protection locked="0"/>
    </xf>
    <xf numFmtId="0" fontId="32" fillId="0" borderId="0" xfId="0" applyNumberFormat="1" applyFont="1" applyFill="1" applyAlignment="1" applyProtection="1">
      <alignment vertical="top"/>
    </xf>
    <xf numFmtId="0" fontId="114" fillId="0" borderId="0" xfId="0" applyNumberFormat="1" applyFont="1" applyFill="1" applyAlignment="1">
      <alignment horizontal="left" vertical="top" wrapText="1"/>
    </xf>
    <xf numFmtId="0" fontId="114" fillId="0" borderId="0" xfId="0" applyNumberFormat="1" applyFont="1" applyFill="1" applyAlignment="1">
      <alignment horizontal="left" vertical="top"/>
    </xf>
    <xf numFmtId="37" fontId="114" fillId="0" borderId="0" xfId="0" applyNumberFormat="1" applyFont="1" applyFill="1" applyAlignment="1" applyProtection="1">
      <alignment horizontal="left"/>
    </xf>
    <xf numFmtId="37" fontId="35" fillId="0" borderId="0" xfId="0" applyNumberFormat="1" applyFont="1" applyFill="1" applyAlignment="1" applyProtection="1">
      <alignment horizontal="left"/>
    </xf>
    <xf numFmtId="0" fontId="35" fillId="0" borderId="0" xfId="0" applyNumberFormat="1" applyFont="1" applyFill="1" applyBorder="1" applyAlignment="1"/>
    <xf numFmtId="0" fontId="114" fillId="0" borderId="0" xfId="0" applyNumberFormat="1" applyFont="1" applyFill="1" applyBorder="1" applyAlignment="1">
      <alignment horizontal="left"/>
    </xf>
    <xf numFmtId="0" fontId="114" fillId="0" borderId="0" xfId="0" applyFont="1" applyFill="1" applyBorder="1" applyAlignment="1">
      <alignment horizontal="left"/>
    </xf>
    <xf numFmtId="166" fontId="114" fillId="0" borderId="0" xfId="0" applyNumberFormat="1" applyFont="1" applyFill="1" applyBorder="1" applyAlignment="1">
      <alignment horizontal="left"/>
    </xf>
    <xf numFmtId="1" fontId="35" fillId="0" borderId="0" xfId="0" quotePrefix="1" applyNumberFormat="1" applyFont="1" applyFill="1" applyAlignment="1">
      <alignment horizontal="left"/>
    </xf>
    <xf numFmtId="0" fontId="32" fillId="0" borderId="0" xfId="0" applyFont="1" applyFill="1" applyAlignment="1">
      <alignment horizontal="center" vertical="center"/>
    </xf>
    <xf numFmtId="0" fontId="32" fillId="0" borderId="0" xfId="0" applyFont="1" applyFill="1" applyAlignment="1">
      <alignment horizontal="center"/>
    </xf>
    <xf numFmtId="0" fontId="118" fillId="0" borderId="0" xfId="0" applyFont="1" applyFill="1" applyBorder="1" applyAlignment="1">
      <alignment horizontal="center"/>
    </xf>
    <xf numFmtId="0" fontId="35" fillId="0" borderId="0" xfId="0" applyFont="1" applyFill="1" applyAlignment="1">
      <alignment horizontal="left"/>
    </xf>
    <xf numFmtId="0" fontId="114" fillId="0" borderId="0" xfId="0" applyNumberFormat="1" applyFont="1" applyFill="1" applyBorder="1" applyAlignment="1">
      <alignment horizontal="justify" vertical="top" wrapText="1"/>
    </xf>
    <xf numFmtId="0" fontId="118" fillId="0" borderId="10" xfId="0" applyNumberFormat="1" applyFont="1" applyFill="1" applyBorder="1" applyAlignment="1">
      <alignment horizontal="center" vertical="center" wrapText="1"/>
    </xf>
    <xf numFmtId="166" fontId="32" fillId="0" borderId="0" xfId="0" applyNumberFormat="1" applyFont="1" applyFill="1" applyBorder="1" applyAlignment="1">
      <alignment horizontal="center" vertical="center"/>
    </xf>
    <xf numFmtId="0" fontId="114" fillId="0" borderId="0" xfId="0" applyFont="1" applyFill="1" applyAlignment="1">
      <alignment wrapText="1"/>
    </xf>
    <xf numFmtId="165" fontId="32" fillId="0" borderId="0" xfId="0" applyNumberFormat="1" applyFont="1" applyFill="1" applyAlignment="1">
      <alignment horizontal="left" vertical="top"/>
    </xf>
    <xf numFmtId="165" fontId="35" fillId="0" borderId="0" xfId="0" applyNumberFormat="1" applyFont="1" applyFill="1" applyAlignment="1">
      <alignment wrapText="1"/>
    </xf>
    <xf numFmtId="165" fontId="114" fillId="0" borderId="0" xfId="0" applyNumberFormat="1" applyFont="1" applyFill="1" applyAlignment="1">
      <alignment horizontal="center" vertical="center" wrapText="1"/>
    </xf>
    <xf numFmtId="0" fontId="114" fillId="0" borderId="0" xfId="0" applyNumberFormat="1" applyFont="1" applyFill="1" applyBorder="1" applyAlignment="1">
      <alignment horizontal="center" vertical="center" wrapText="1"/>
    </xf>
    <xf numFmtId="0" fontId="114" fillId="0" borderId="0" xfId="0" applyNumberFormat="1" applyFont="1" applyFill="1" applyBorder="1" applyAlignment="1">
      <alignment horizontal="left" wrapText="1"/>
    </xf>
    <xf numFmtId="0" fontId="35" fillId="0" borderId="0" xfId="0" applyNumberFormat="1" applyFont="1" applyFill="1" applyBorder="1" applyAlignment="1">
      <alignment horizontal="center" vertical="center" wrapText="1"/>
    </xf>
    <xf numFmtId="0" fontId="35" fillId="0" borderId="0" xfId="0" applyFont="1" applyFill="1" applyBorder="1" applyAlignment="1">
      <alignment horizontal="center"/>
    </xf>
    <xf numFmtId="0" fontId="32" fillId="0" borderId="0" xfId="0" applyFont="1"/>
    <xf numFmtId="0" fontId="35" fillId="0" borderId="0" xfId="0" applyFont="1" applyFill="1" applyAlignment="1">
      <alignment horizontal="center"/>
    </xf>
    <xf numFmtId="166" fontId="35" fillId="0" borderId="0" xfId="0" applyNumberFormat="1" applyFont="1" applyFill="1" applyAlignment="1">
      <alignment horizontal="center" vertical="top"/>
    </xf>
    <xf numFmtId="0" fontId="35" fillId="0" borderId="0" xfId="0" quotePrefix="1" applyFont="1" applyFill="1" applyAlignment="1">
      <alignment horizontal="center"/>
    </xf>
    <xf numFmtId="0" fontId="35" fillId="0" borderId="0" xfId="0" applyFont="1" applyFill="1" applyAlignment="1">
      <alignment horizontal="center" vertical="top"/>
    </xf>
    <xf numFmtId="0" fontId="35" fillId="0" borderId="0" xfId="0" applyFont="1" applyFill="1" applyBorder="1" applyAlignment="1">
      <alignment horizontal="center" vertical="top"/>
    </xf>
    <xf numFmtId="0" fontId="114" fillId="0" borderId="0" xfId="0" quotePrefix="1" applyFont="1" applyFill="1" applyAlignment="1">
      <alignment horizontal="left" vertical="top" wrapText="1"/>
    </xf>
    <xf numFmtId="0" fontId="114" fillId="0" borderId="0" xfId="0" applyFont="1" applyFill="1" applyAlignment="1">
      <alignment horizontal="justify" vertical="top" wrapText="1"/>
    </xf>
    <xf numFmtId="0" fontId="114" fillId="0" borderId="0" xfId="0" applyFont="1" applyFill="1" applyAlignment="1">
      <alignment horizontal="left" vertical="top" wrapText="1"/>
    </xf>
    <xf numFmtId="166" fontId="35" fillId="0" borderId="0" xfId="0" quotePrefix="1" applyNumberFormat="1" applyFont="1" applyFill="1" applyAlignment="1">
      <alignment horizontal="center" vertical="center" wrapText="1"/>
    </xf>
    <xf numFmtId="0" fontId="35" fillId="0" borderId="0" xfId="0" quotePrefix="1" applyNumberFormat="1" applyFont="1" applyFill="1" applyAlignment="1">
      <alignment horizontal="center" vertical="center" wrapText="1"/>
    </xf>
    <xf numFmtId="165" fontId="35" fillId="0" borderId="0" xfId="0" quotePrefix="1" applyNumberFormat="1" applyFont="1" applyFill="1" applyAlignment="1">
      <alignment horizontal="center" vertical="center" wrapText="1"/>
    </xf>
    <xf numFmtId="165" fontId="35" fillId="0" borderId="0" xfId="0" applyNumberFormat="1" applyFont="1" applyFill="1" applyAlignment="1">
      <alignment horizontal="center"/>
    </xf>
    <xf numFmtId="1" fontId="114" fillId="0" borderId="0" xfId="0" quotePrefix="1" applyNumberFormat="1" applyFont="1" applyFill="1" applyAlignment="1">
      <alignment horizontal="center"/>
    </xf>
    <xf numFmtId="2" fontId="114" fillId="0" borderId="0" xfId="0" quotePrefix="1" applyNumberFormat="1" applyFont="1" applyFill="1" applyAlignment="1">
      <alignment horizontal="center"/>
    </xf>
    <xf numFmtId="0" fontId="114" fillId="0" borderId="0" xfId="0" applyNumberFormat="1" applyFont="1" applyFill="1" applyAlignment="1">
      <alignment horizontal="center"/>
    </xf>
    <xf numFmtId="0" fontId="114" fillId="0" borderId="0" xfId="0" applyNumberFormat="1" applyFont="1" applyFill="1" applyAlignment="1">
      <alignment horizontal="center" vertical="top"/>
    </xf>
    <xf numFmtId="166" fontId="114" fillId="0" borderId="0" xfId="0" applyNumberFormat="1" applyFont="1" applyFill="1" applyAlignment="1">
      <alignment horizontal="center"/>
    </xf>
    <xf numFmtId="165" fontId="114" fillId="0" borderId="0" xfId="0" applyNumberFormat="1" applyFont="1" applyFill="1" applyAlignment="1">
      <alignment horizontal="center"/>
    </xf>
    <xf numFmtId="1" fontId="114" fillId="0" borderId="0" xfId="0" applyNumberFormat="1" applyFont="1" applyFill="1" applyAlignment="1">
      <alignment horizontal="center"/>
    </xf>
    <xf numFmtId="1" fontId="114" fillId="0" borderId="0" xfId="0" quotePrefix="1" applyNumberFormat="1" applyFont="1" applyFill="1" applyAlignment="1">
      <alignment horizontal="center" vertical="top"/>
    </xf>
    <xf numFmtId="0" fontId="35" fillId="0" borderId="0" xfId="0" applyFont="1" applyFill="1" applyAlignment="1">
      <alignment horizontal="left" vertical="center"/>
    </xf>
    <xf numFmtId="0" fontId="35" fillId="0" borderId="0" xfId="0" applyFont="1" applyFill="1" applyAlignment="1">
      <alignment horizontal="left" indent="2"/>
    </xf>
    <xf numFmtId="166" fontId="114" fillId="0" borderId="0" xfId="0" applyNumberFormat="1" applyFont="1" applyFill="1" applyBorder="1" applyAlignment="1">
      <alignment vertical="center"/>
    </xf>
    <xf numFmtId="43" fontId="114" fillId="0" borderId="0" xfId="0" applyNumberFormat="1" applyFont="1" applyFill="1" applyBorder="1"/>
    <xf numFmtId="2" fontId="114" fillId="0" borderId="0" xfId="1" applyNumberFormat="1" applyFont="1" applyFill="1" applyAlignment="1">
      <alignment horizontal="center"/>
    </xf>
    <xf numFmtId="43" fontId="35" fillId="0" borderId="0" xfId="0" applyNumberFormat="1" applyFont="1" applyFill="1" applyBorder="1"/>
    <xf numFmtId="167" fontId="114" fillId="0" borderId="0" xfId="0" applyNumberFormat="1" applyFont="1" applyFill="1"/>
    <xf numFmtId="165" fontId="114" fillId="0" borderId="0" xfId="0" applyNumberFormat="1" applyFont="1" applyFill="1" applyAlignment="1"/>
    <xf numFmtId="0" fontId="114" fillId="0" borderId="0" xfId="0" applyNumberFormat="1" applyFont="1" applyFill="1" applyAlignment="1"/>
    <xf numFmtId="0" fontId="35" fillId="0" borderId="0" xfId="0" quotePrefix="1" applyFont="1" applyFill="1" applyBorder="1" applyAlignment="1">
      <alignment horizontal="center"/>
    </xf>
    <xf numFmtId="0" fontId="35" fillId="0" borderId="0" xfId="0" applyNumberFormat="1" applyFont="1" applyFill="1" applyAlignment="1"/>
    <xf numFmtId="0" fontId="35" fillId="0" borderId="0" xfId="0" applyFont="1" applyFill="1" applyBorder="1" applyAlignment="1">
      <alignment horizontal="centerContinuous"/>
    </xf>
    <xf numFmtId="165" fontId="35" fillId="0" borderId="0" xfId="0" applyNumberFormat="1" applyFont="1" applyFill="1" applyBorder="1" applyAlignment="1">
      <alignment horizontal="centerContinuous"/>
    </xf>
    <xf numFmtId="0" fontId="120" fillId="0" borderId="0" xfId="0" applyNumberFormat="1" applyFont="1" applyFill="1"/>
    <xf numFmtId="166" fontId="120" fillId="0" borderId="0" xfId="0" applyNumberFormat="1" applyFont="1" applyFill="1"/>
    <xf numFmtId="166" fontId="35" fillId="0" borderId="0" xfId="0" applyNumberFormat="1" applyFont="1" applyFill="1" applyAlignment="1"/>
    <xf numFmtId="1" fontId="117" fillId="0" borderId="0" xfId="0" applyNumberFormat="1" applyFont="1" applyFill="1" applyAlignment="1">
      <alignment horizontal="center"/>
    </xf>
    <xf numFmtId="0" fontId="128" fillId="0" borderId="0" xfId="0" applyFont="1" applyFill="1"/>
    <xf numFmtId="166" fontId="35" fillId="0" borderId="0" xfId="0" applyNumberFormat="1" applyFont="1" applyFill="1" applyAlignment="1">
      <alignment horizontal="centerContinuous"/>
    </xf>
    <xf numFmtId="166" fontId="114" fillId="0" borderId="0" xfId="1" applyNumberFormat="1" applyFont="1" applyFill="1" applyBorder="1"/>
    <xf numFmtId="0" fontId="114" fillId="0" borderId="41" xfId="0" applyFont="1" applyFill="1" applyBorder="1"/>
    <xf numFmtId="0" fontId="114" fillId="0" borderId="33" xfId="0" applyFont="1" applyFill="1" applyBorder="1"/>
    <xf numFmtId="0" fontId="114" fillId="0" borderId="42" xfId="0" applyFont="1" applyFill="1" applyBorder="1"/>
    <xf numFmtId="0" fontId="35" fillId="0" borderId="14" xfId="0" applyFont="1" applyFill="1" applyBorder="1" applyAlignment="1"/>
    <xf numFmtId="166" fontId="35" fillId="0" borderId="8" xfId="0" applyNumberFormat="1" applyFont="1" applyFill="1" applyBorder="1" applyAlignment="1"/>
    <xf numFmtId="166" fontId="35" fillId="0" borderId="15" xfId="0" applyNumberFormat="1" applyFont="1" applyFill="1" applyBorder="1" applyAlignment="1"/>
    <xf numFmtId="166" fontId="114" fillId="0" borderId="8" xfId="0" applyNumberFormat="1" applyFont="1" applyFill="1" applyBorder="1"/>
    <xf numFmtId="166" fontId="114" fillId="0" borderId="14" xfId="0" applyNumberFormat="1" applyFont="1" applyFill="1" applyBorder="1"/>
    <xf numFmtId="2" fontId="114" fillId="0" borderId="45" xfId="0" applyNumberFormat="1" applyFont="1" applyFill="1" applyBorder="1"/>
    <xf numFmtId="2" fontId="114" fillId="0" borderId="36" xfId="0" applyNumberFormat="1" applyFont="1" applyFill="1" applyBorder="1"/>
    <xf numFmtId="2" fontId="114" fillId="0" borderId="0" xfId="0" applyNumberFormat="1" applyFont="1" applyFill="1" applyBorder="1"/>
    <xf numFmtId="2" fontId="114" fillId="0" borderId="46" xfId="0" applyNumberFormat="1" applyFont="1" applyFill="1" applyBorder="1"/>
    <xf numFmtId="0" fontId="35" fillId="0" borderId="16" xfId="0" applyFont="1" applyFill="1" applyBorder="1" applyAlignment="1"/>
    <xf numFmtId="166" fontId="35" fillId="0" borderId="0" xfId="0" applyNumberFormat="1" applyFont="1" applyFill="1" applyBorder="1" applyAlignment="1"/>
    <xf numFmtId="166" fontId="35" fillId="0" borderId="17" xfId="0" applyNumberFormat="1" applyFont="1" applyFill="1" applyBorder="1" applyAlignment="1"/>
    <xf numFmtId="166" fontId="114" fillId="0" borderId="16" xfId="0" applyNumberFormat="1" applyFont="1" applyFill="1" applyBorder="1"/>
    <xf numFmtId="2" fontId="114" fillId="0" borderId="17" xfId="0" applyNumberFormat="1" applyFont="1" applyFill="1" applyBorder="1"/>
    <xf numFmtId="16" fontId="35" fillId="0" borderId="16" xfId="0" applyNumberFormat="1" applyFont="1" applyFill="1" applyBorder="1" applyAlignment="1">
      <alignment vertical="center" wrapText="1"/>
    </xf>
    <xf numFmtId="166" fontId="35" fillId="0" borderId="0" xfId="0" applyNumberFormat="1" applyFont="1" applyFill="1" applyBorder="1" applyAlignment="1">
      <alignment horizontal="center" wrapText="1"/>
    </xf>
    <xf numFmtId="166" fontId="114" fillId="0" borderId="0" xfId="0" applyNumberFormat="1" applyFont="1" applyFill="1" applyBorder="1" applyAlignment="1">
      <alignment wrapText="1"/>
    </xf>
    <xf numFmtId="0" fontId="114" fillId="0" borderId="17" xfId="0" applyFont="1" applyFill="1" applyBorder="1" applyAlignment="1">
      <alignment wrapText="1"/>
    </xf>
    <xf numFmtId="2" fontId="114" fillId="0" borderId="37" xfId="0" applyNumberFormat="1" applyFont="1" applyFill="1" applyBorder="1"/>
    <xf numFmtId="2" fontId="114" fillId="0" borderId="47" xfId="0" applyNumberFormat="1" applyFont="1" applyFill="1" applyBorder="1"/>
    <xf numFmtId="0" fontId="114" fillId="0" borderId="46" xfId="0" applyFont="1" applyFill="1" applyBorder="1"/>
    <xf numFmtId="0" fontId="114" fillId="0" borderId="16" xfId="0" applyNumberFormat="1" applyFont="1" applyFill="1" applyBorder="1" applyAlignment="1">
      <alignment horizontal="left" vertical="center"/>
    </xf>
    <xf numFmtId="166" fontId="35" fillId="0" borderId="38" xfId="1" applyNumberFormat="1" applyFont="1" applyFill="1" applyBorder="1"/>
    <xf numFmtId="166" fontId="35" fillId="0" borderId="39" xfId="1" applyNumberFormat="1" applyFont="1" applyFill="1" applyBorder="1"/>
    <xf numFmtId="166" fontId="35" fillId="0" borderId="40" xfId="1" applyNumberFormat="1" applyFont="1" applyFill="1" applyBorder="1"/>
    <xf numFmtId="2" fontId="114" fillId="0" borderId="48" xfId="0" applyNumberFormat="1" applyFont="1" applyFill="1" applyBorder="1"/>
    <xf numFmtId="2" fontId="114" fillId="0" borderId="20" xfId="0" applyNumberFormat="1" applyFont="1" applyFill="1" applyBorder="1"/>
    <xf numFmtId="0" fontId="114" fillId="0" borderId="20" xfId="0" applyFont="1" applyFill="1" applyBorder="1"/>
    <xf numFmtId="0" fontId="114" fillId="0" borderId="49" xfId="0" applyFont="1" applyFill="1" applyBorder="1"/>
    <xf numFmtId="0" fontId="114" fillId="0" borderId="18" xfId="0" applyFont="1" applyFill="1" applyBorder="1"/>
    <xf numFmtId="166" fontId="114" fillId="0" borderId="18" xfId="0" applyNumberFormat="1" applyFont="1" applyFill="1" applyBorder="1"/>
    <xf numFmtId="166" fontId="35" fillId="0" borderId="19" xfId="0" applyNumberFormat="1" applyFont="1" applyFill="1" applyBorder="1"/>
    <xf numFmtId="166" fontId="114" fillId="0" borderId="36" xfId="1" applyNumberFormat="1" applyFont="1" applyFill="1" applyBorder="1"/>
    <xf numFmtId="166" fontId="114" fillId="0" borderId="17" xfId="1" applyNumberFormat="1" applyFont="1" applyFill="1" applyBorder="1"/>
    <xf numFmtId="166" fontId="35" fillId="0" borderId="17" xfId="0" applyNumberFormat="1" applyFont="1" applyFill="1" applyBorder="1"/>
    <xf numFmtId="166" fontId="114" fillId="0" borderId="9" xfId="0" applyNumberFormat="1" applyFont="1" applyFill="1" applyBorder="1"/>
    <xf numFmtId="166" fontId="114" fillId="0" borderId="19" xfId="0" applyNumberFormat="1" applyFont="1" applyFill="1" applyBorder="1"/>
    <xf numFmtId="166" fontId="114" fillId="0" borderId="15" xfId="0" applyNumberFormat="1" applyFont="1" applyFill="1" applyBorder="1"/>
    <xf numFmtId="166" fontId="114" fillId="0" borderId="17" xfId="0" applyNumberFormat="1" applyFont="1" applyFill="1" applyBorder="1"/>
    <xf numFmtId="166" fontId="114" fillId="0" borderId="18" xfId="0" applyNumberFormat="1" applyFont="1" applyFill="1" applyBorder="1" applyAlignment="1">
      <alignment vertical="top"/>
    </xf>
    <xf numFmtId="166" fontId="114" fillId="0" borderId="19" xfId="0" applyNumberFormat="1" applyFont="1" applyFill="1" applyBorder="1" applyAlignment="1">
      <alignment vertical="top"/>
    </xf>
    <xf numFmtId="166" fontId="114" fillId="0" borderId="0" xfId="0" quotePrefix="1" applyNumberFormat="1" applyFont="1" applyFill="1" applyBorder="1"/>
    <xf numFmtId="0" fontId="118" fillId="0" borderId="0" xfId="0" applyFont="1" applyFill="1" applyAlignment="1">
      <alignment horizontal="left" vertical="center"/>
    </xf>
    <xf numFmtId="0" fontId="32" fillId="0" borderId="0" xfId="0" applyFont="1" applyFill="1" applyBorder="1"/>
    <xf numFmtId="0" fontId="114" fillId="0" borderId="0" xfId="0" applyFont="1" applyFill="1" applyBorder="1" applyAlignment="1">
      <alignment horizontal="center" vertical="center"/>
    </xf>
    <xf numFmtId="166" fontId="114" fillId="0" borderId="0" xfId="0" applyNumberFormat="1" applyFont="1" applyFill="1" applyBorder="1"/>
    <xf numFmtId="0" fontId="32" fillId="0" borderId="0" xfId="0" applyFont="1" applyFill="1"/>
    <xf numFmtId="0" fontId="118" fillId="0" borderId="0" xfId="0" applyFont="1" applyFill="1" applyAlignment="1">
      <alignment vertical="center"/>
    </xf>
    <xf numFmtId="41" fontId="118" fillId="0" borderId="5" xfId="0" applyNumberFormat="1" applyFont="1" applyFill="1" applyBorder="1" applyAlignment="1">
      <alignment vertical="center"/>
    </xf>
    <xf numFmtId="0" fontId="32" fillId="0" borderId="0" xfId="0" applyFont="1" applyFill="1" applyAlignment="1">
      <alignment vertical="center"/>
    </xf>
    <xf numFmtId="0" fontId="35" fillId="0" borderId="0" xfId="0" applyFont="1" applyFill="1" applyAlignment="1">
      <alignment vertical="center"/>
    </xf>
    <xf numFmtId="41" fontId="32" fillId="0" borderId="7" xfId="0" applyNumberFormat="1" applyFont="1" applyFill="1" applyBorder="1"/>
    <xf numFmtId="41" fontId="114" fillId="0" borderId="0" xfId="0" applyNumberFormat="1" applyFont="1" applyFill="1"/>
    <xf numFmtId="3" fontId="114" fillId="0" borderId="0" xfId="0" applyNumberFormat="1" applyFont="1" applyFill="1"/>
    <xf numFmtId="166" fontId="114" fillId="0" borderId="0" xfId="0" applyNumberFormat="1" applyFont="1" applyFill="1"/>
    <xf numFmtId="168" fontId="35" fillId="0" borderId="0" xfId="0" applyNumberFormat="1" applyFont="1" applyFill="1" applyAlignment="1">
      <alignment horizontal="left"/>
    </xf>
    <xf numFmtId="0" fontId="114" fillId="0" borderId="0" xfId="0" applyFont="1" applyFill="1" applyAlignment="1">
      <alignment horizontal="left" vertical="top"/>
    </xf>
    <xf numFmtId="0" fontId="35" fillId="0" borderId="0" xfId="0" applyFont="1" applyFill="1" applyBorder="1" applyAlignment="1" applyProtection="1">
      <protection locked="0"/>
    </xf>
    <xf numFmtId="0" fontId="35" fillId="0" borderId="0" xfId="0" applyFont="1" applyFill="1" applyBorder="1" applyAlignment="1" applyProtection="1">
      <alignment horizontal="center"/>
      <protection locked="0"/>
    </xf>
    <xf numFmtId="0" fontId="114" fillId="0" borderId="0" xfId="0" applyFont="1" applyFill="1" applyProtection="1">
      <protection locked="0"/>
    </xf>
    <xf numFmtId="0" fontId="35" fillId="0" borderId="0" xfId="0" applyFont="1" applyFill="1" applyAlignment="1" applyProtection="1">
      <alignment horizontal="center"/>
      <protection locked="0"/>
    </xf>
    <xf numFmtId="0" fontId="35" fillId="0" borderId="0" xfId="0" applyNumberFormat="1" applyFont="1" applyFill="1" applyAlignment="1" applyProtection="1">
      <alignment horizontal="center"/>
      <protection locked="0"/>
    </xf>
    <xf numFmtId="166" fontId="114" fillId="0" borderId="0" xfId="145" applyNumberFormat="1" applyFont="1" applyFill="1"/>
    <xf numFmtId="0" fontId="114" fillId="0" borderId="0" xfId="0" applyFont="1" applyFill="1" applyBorder="1" applyProtection="1">
      <protection locked="0"/>
    </xf>
    <xf numFmtId="0" fontId="114" fillId="0" borderId="0" xfId="0" applyFont="1" applyFill="1" applyAlignment="1" applyProtection="1">
      <alignment horizontal="center" vertical="top"/>
      <protection locked="0"/>
    </xf>
    <xf numFmtId="0" fontId="35" fillId="0" borderId="0" xfId="0" applyFont="1" applyFill="1" applyAlignment="1" applyProtection="1">
      <alignment horizontal="center" vertical="top"/>
      <protection locked="0"/>
    </xf>
    <xf numFmtId="0" fontId="35" fillId="0" borderId="0" xfId="0" quotePrefix="1" applyFont="1" applyFill="1" applyAlignment="1"/>
    <xf numFmtId="0" fontId="131" fillId="0" borderId="0" xfId="0" applyFont="1" applyFill="1" applyAlignment="1"/>
    <xf numFmtId="0" fontId="132" fillId="0" borderId="0" xfId="0" applyFont="1" applyFill="1"/>
    <xf numFmtId="166" fontId="132" fillId="0" borderId="0" xfId="0" applyNumberFormat="1" applyFont="1" applyFill="1"/>
    <xf numFmtId="0" fontId="131" fillId="0" borderId="0" xfId="0" quotePrefix="1" applyNumberFormat="1" applyFont="1" applyFill="1" applyAlignment="1">
      <alignment horizontal="center" vertical="center"/>
    </xf>
    <xf numFmtId="16" fontId="131" fillId="0" borderId="0" xfId="0" quotePrefix="1" applyNumberFormat="1" applyFont="1" applyFill="1" applyAlignment="1">
      <alignment vertical="top"/>
    </xf>
    <xf numFmtId="197" fontId="132" fillId="0" borderId="0" xfId="0" applyNumberFormat="1" applyFont="1" applyFill="1"/>
    <xf numFmtId="0" fontId="131" fillId="0" borderId="0" xfId="0" applyFont="1" applyFill="1"/>
    <xf numFmtId="165" fontId="131" fillId="0" borderId="0" xfId="0" quotePrefix="1" applyNumberFormat="1" applyFont="1" applyFill="1" applyAlignment="1">
      <alignment horizontal="center" vertical="center" wrapText="1"/>
    </xf>
    <xf numFmtId="166" fontId="131" fillId="0" borderId="0" xfId="0" applyNumberFormat="1" applyFont="1" applyFill="1" applyAlignment="1">
      <alignment horizontal="centerContinuous"/>
    </xf>
    <xf numFmtId="0" fontId="132" fillId="0" borderId="0" xfId="0" applyFont="1" applyFill="1" applyAlignment="1">
      <alignment horizontal="center"/>
    </xf>
    <xf numFmtId="41" fontId="132" fillId="0" borderId="0" xfId="0" applyNumberFormat="1" applyFont="1" applyFill="1" applyAlignment="1">
      <alignment horizontal="center"/>
    </xf>
    <xf numFmtId="166" fontId="132" fillId="0" borderId="0" xfId="0" applyNumberFormat="1" applyFont="1" applyFill="1" applyBorder="1"/>
    <xf numFmtId="41" fontId="132" fillId="0" borderId="0" xfId="0" applyNumberFormat="1" applyFont="1" applyFill="1"/>
    <xf numFmtId="0" fontId="132" fillId="0" borderId="0" xfId="0" applyFont="1" applyFill="1" applyBorder="1"/>
    <xf numFmtId="0" fontId="132" fillId="0" borderId="0" xfId="0" applyFont="1" applyFill="1" applyAlignment="1">
      <alignment horizontal="left"/>
    </xf>
    <xf numFmtId="0" fontId="132" fillId="0" borderId="0" xfId="0" applyNumberFormat="1" applyFont="1" applyFill="1" applyAlignment="1">
      <alignment horizontal="center"/>
    </xf>
    <xf numFmtId="0" fontId="132" fillId="0" borderId="0" xfId="0" quotePrefix="1" applyFont="1" applyFill="1" applyAlignment="1">
      <alignment horizontal="left" indent="1"/>
    </xf>
    <xf numFmtId="0" fontId="132" fillId="0" borderId="0" xfId="0" applyNumberFormat="1" applyFont="1" applyFill="1" applyAlignment="1">
      <alignment vertical="top"/>
    </xf>
    <xf numFmtId="0" fontId="132" fillId="0" borderId="0" xfId="0" applyNumberFormat="1" applyFont="1" applyFill="1" applyBorder="1" applyAlignment="1">
      <alignment horizontal="center"/>
    </xf>
    <xf numFmtId="0" fontId="132" fillId="0" borderId="0" xfId="0" applyFont="1" applyFill="1" applyAlignment="1">
      <alignment horizontal="left" indent="1"/>
    </xf>
    <xf numFmtId="166" fontId="132" fillId="0" borderId="8" xfId="0" applyNumberFormat="1" applyFont="1" applyFill="1" applyBorder="1" applyAlignment="1">
      <alignment horizontal="center"/>
    </xf>
    <xf numFmtId="196" fontId="132" fillId="0" borderId="0" xfId="1" applyNumberFormat="1" applyFont="1" applyFill="1"/>
    <xf numFmtId="166" fontId="132" fillId="0" borderId="8" xfId="0" applyNumberFormat="1" applyFont="1" applyFill="1" applyBorder="1"/>
    <xf numFmtId="0" fontId="131" fillId="0" borderId="0" xfId="0" applyFont="1" applyFill="1" applyBorder="1"/>
    <xf numFmtId="166" fontId="132" fillId="0" borderId="0" xfId="0" quotePrefix="1" applyNumberFormat="1" applyFont="1" applyFill="1"/>
    <xf numFmtId="1" fontId="132" fillId="0" borderId="0" xfId="0" quotePrefix="1" applyNumberFormat="1" applyFont="1" applyFill="1" applyAlignment="1">
      <alignment horizontal="center"/>
    </xf>
    <xf numFmtId="166" fontId="132" fillId="0" borderId="0" xfId="1" applyNumberFormat="1" applyFont="1" applyFill="1"/>
    <xf numFmtId="1" fontId="132" fillId="0" borderId="0" xfId="0" applyNumberFormat="1" applyFont="1" applyFill="1" applyAlignment="1">
      <alignment horizontal="center"/>
    </xf>
    <xf numFmtId="9" fontId="132" fillId="0" borderId="0" xfId="3" applyFont="1" applyFill="1"/>
    <xf numFmtId="0" fontId="132" fillId="0" borderId="0" xfId="0" applyFont="1" applyFill="1" applyAlignment="1">
      <alignment vertical="top"/>
    </xf>
    <xf numFmtId="0" fontId="131" fillId="0" borderId="0" xfId="0" applyFont="1" applyFill="1" applyAlignment="1">
      <alignment vertical="center"/>
    </xf>
    <xf numFmtId="0" fontId="132" fillId="0" borderId="0" xfId="0" applyFont="1" applyFill="1" applyAlignment="1">
      <alignment vertical="center"/>
    </xf>
    <xf numFmtId="0" fontId="132" fillId="0" borderId="0" xfId="0" applyNumberFormat="1" applyFont="1" applyFill="1" applyAlignment="1">
      <alignment horizontal="center" vertical="center"/>
    </xf>
    <xf numFmtId="166" fontId="132" fillId="0" borderId="0" xfId="0" applyNumberFormat="1" applyFont="1" applyFill="1" applyBorder="1" applyAlignment="1">
      <alignment vertical="center"/>
    </xf>
    <xf numFmtId="166" fontId="132" fillId="0" borderId="0" xfId="0" applyNumberFormat="1" applyFont="1" applyFill="1" applyAlignment="1">
      <alignment vertical="center"/>
    </xf>
    <xf numFmtId="37" fontId="131" fillId="0" borderId="0" xfId="0" applyNumberFormat="1" applyFont="1" applyFill="1" applyProtection="1"/>
    <xf numFmtId="37" fontId="131" fillId="0" borderId="0" xfId="0" applyNumberFormat="1" applyFont="1" applyFill="1" applyBorder="1" applyProtection="1"/>
    <xf numFmtId="0" fontId="132" fillId="0" borderId="0" xfId="0" applyFont="1" applyFill="1" applyBorder="1" applyAlignment="1">
      <alignment horizontal="center"/>
    </xf>
    <xf numFmtId="166" fontId="132" fillId="0" borderId="0" xfId="1" applyNumberFormat="1" applyFont="1" applyFill="1" applyBorder="1" applyAlignment="1">
      <alignment horizontal="center"/>
    </xf>
    <xf numFmtId="166" fontId="131" fillId="0" borderId="102" xfId="0" applyNumberFormat="1" applyFont="1" applyFill="1" applyBorder="1"/>
    <xf numFmtId="37" fontId="132" fillId="0" borderId="0" xfId="0" applyNumberFormat="1" applyFont="1" applyFill="1" applyProtection="1"/>
    <xf numFmtId="37" fontId="131" fillId="0" borderId="0" xfId="0" applyNumberFormat="1" applyFont="1" applyFill="1" applyAlignment="1" applyProtection="1">
      <alignment vertical="center"/>
    </xf>
    <xf numFmtId="0" fontId="132" fillId="0" borderId="0" xfId="0" applyFont="1" applyFill="1" applyAlignment="1">
      <alignment horizontal="center" vertical="center"/>
    </xf>
    <xf numFmtId="166" fontId="132" fillId="0" borderId="5" xfId="0" applyNumberFormat="1" applyFont="1" applyFill="1" applyBorder="1" applyAlignment="1">
      <alignment vertical="center"/>
    </xf>
    <xf numFmtId="166" fontId="131" fillId="0" borderId="0" xfId="0" applyNumberFormat="1" applyFont="1" applyFill="1" applyAlignment="1">
      <alignment vertical="center"/>
    </xf>
    <xf numFmtId="0" fontId="133" fillId="0" borderId="0" xfId="0" applyFont="1" applyFill="1"/>
    <xf numFmtId="0" fontId="134" fillId="0" borderId="0" xfId="0" applyFont="1" applyFill="1"/>
    <xf numFmtId="37" fontId="132" fillId="0" borderId="0" xfId="0" quotePrefix="1" applyNumberFormat="1" applyFont="1" applyFill="1" applyProtection="1"/>
    <xf numFmtId="0" fontId="129" fillId="0" borderId="0" xfId="0" applyFont="1" applyFill="1" applyAlignment="1">
      <alignment vertical="top"/>
    </xf>
    <xf numFmtId="0" fontId="113" fillId="0" borderId="0" xfId="0" applyFont="1" applyFill="1" applyAlignment="1">
      <alignment vertical="top"/>
    </xf>
    <xf numFmtId="166" fontId="131" fillId="0" borderId="5" xfId="0" applyNumberFormat="1" applyFont="1" applyFill="1" applyBorder="1"/>
    <xf numFmtId="0" fontId="131" fillId="0" borderId="0" xfId="0" applyFont="1" applyFill="1" applyAlignment="1">
      <alignment vertical="top"/>
    </xf>
    <xf numFmtId="166" fontId="132" fillId="0" borderId="5" xfId="1" applyNumberFormat="1" applyFont="1" applyFill="1" applyBorder="1"/>
    <xf numFmtId="2" fontId="132" fillId="0" borderId="0" xfId="0" applyNumberFormat="1" applyFont="1" applyFill="1" applyAlignment="1">
      <alignment horizontal="center"/>
    </xf>
    <xf numFmtId="0" fontId="132" fillId="0" borderId="0" xfId="0" applyFont="1" applyFill="1" applyAlignment="1"/>
    <xf numFmtId="0" fontId="113" fillId="0" borderId="0" xfId="0" applyFont="1" applyFill="1" applyBorder="1" applyAlignment="1">
      <alignment vertical="top"/>
    </xf>
    <xf numFmtId="0" fontId="113" fillId="0" borderId="0" xfId="0" applyFont="1" applyFill="1" applyBorder="1"/>
    <xf numFmtId="166" fontId="114" fillId="0" borderId="102" xfId="0" applyNumberFormat="1" applyFont="1" applyFill="1" applyBorder="1"/>
    <xf numFmtId="0" fontId="35" fillId="0" borderId="0" xfId="0" quotePrefix="1" applyFont="1" applyFill="1" applyAlignment="1">
      <alignment wrapText="1"/>
    </xf>
    <xf numFmtId="166" fontId="35" fillId="0" borderId="0" xfId="0" quotePrefix="1" applyNumberFormat="1" applyFont="1" applyFill="1" applyAlignment="1">
      <alignment wrapText="1"/>
    </xf>
    <xf numFmtId="0" fontId="32" fillId="0" borderId="0" xfId="0" applyFont="1" applyFill="1" applyBorder="1" applyAlignment="1">
      <alignment horizontal="left" vertical="center"/>
    </xf>
    <xf numFmtId="0" fontId="35" fillId="0" borderId="0" xfId="0" quotePrefix="1" applyFont="1" applyFill="1" applyAlignment="1">
      <alignment horizontal="center" vertical="center"/>
    </xf>
    <xf numFmtId="168" fontId="32" fillId="0" borderId="0" xfId="0" applyNumberFormat="1" applyFont="1" applyFill="1" applyAlignment="1">
      <alignment horizontal="center"/>
    </xf>
    <xf numFmtId="166" fontId="32" fillId="0" borderId="2" xfId="0" applyNumberFormat="1" applyFont="1" applyFill="1" applyBorder="1" applyAlignment="1"/>
    <xf numFmtId="166" fontId="32" fillId="0" borderId="0" xfId="0" applyNumberFormat="1" applyFont="1" applyFill="1" applyAlignment="1">
      <alignment horizontal="left" vertical="center" indent="1"/>
    </xf>
    <xf numFmtId="166" fontId="32" fillId="0" borderId="3" xfId="0" applyNumberFormat="1" applyFont="1" applyFill="1" applyBorder="1" applyAlignment="1"/>
    <xf numFmtId="166" fontId="32" fillId="0" borderId="0" xfId="0" quotePrefix="1" applyNumberFormat="1" applyFont="1" applyFill="1" applyAlignment="1">
      <alignment horizontal="left" vertical="center" indent="1"/>
    </xf>
    <xf numFmtId="0" fontId="32" fillId="0" borderId="0" xfId="0" applyFont="1" applyFill="1" applyAlignment="1">
      <alignment horizontal="left" vertical="top"/>
    </xf>
    <xf numFmtId="166" fontId="32" fillId="0" borderId="0" xfId="0" quotePrefix="1" applyNumberFormat="1" applyFont="1" applyFill="1" applyAlignment="1">
      <alignment horizontal="left" vertical="top" indent="1"/>
    </xf>
    <xf numFmtId="166" fontId="32" fillId="0" borderId="0" xfId="0" quotePrefix="1" applyNumberFormat="1" applyFont="1" applyFill="1" applyAlignment="1">
      <alignment horizontal="left" vertical="top"/>
    </xf>
    <xf numFmtId="166" fontId="32" fillId="0" borderId="4" xfId="0" applyNumberFormat="1" applyFont="1" applyFill="1" applyBorder="1" applyAlignment="1">
      <alignment vertical="top"/>
    </xf>
    <xf numFmtId="37" fontId="114" fillId="0" borderId="0" xfId="0" applyNumberFormat="1" applyFont="1" applyFill="1" applyAlignment="1">
      <alignment vertical="top"/>
    </xf>
    <xf numFmtId="0" fontId="32" fillId="0" borderId="0" xfId="0" quotePrefix="1" applyFont="1" applyFill="1" applyAlignment="1">
      <alignment horizontal="left" vertical="center"/>
    </xf>
    <xf numFmtId="166" fontId="32" fillId="0" borderId="0" xfId="0" applyNumberFormat="1" applyFont="1" applyFill="1" applyAlignment="1">
      <alignment horizontal="left" vertical="center"/>
    </xf>
    <xf numFmtId="37" fontId="114" fillId="0" borderId="0" xfId="0" applyNumberFormat="1" applyFont="1" applyFill="1" applyAlignment="1">
      <alignment vertical="center"/>
    </xf>
    <xf numFmtId="43" fontId="114" fillId="0" borderId="0" xfId="1" applyFont="1" applyFill="1" applyAlignment="1">
      <alignment vertical="center"/>
    </xf>
    <xf numFmtId="165" fontId="35" fillId="0" borderId="0" xfId="0" applyNumberFormat="1" applyFont="1" applyFill="1" applyAlignment="1">
      <alignment vertical="top"/>
    </xf>
    <xf numFmtId="0" fontId="32" fillId="0" borderId="0" xfId="0" applyNumberFormat="1" applyFont="1" applyFill="1" applyAlignment="1">
      <alignment vertical="center"/>
    </xf>
    <xf numFmtId="2" fontId="35" fillId="0" borderId="0" xfId="0" applyNumberFormat="1" applyFont="1" applyFill="1" applyBorder="1" applyAlignment="1">
      <alignment horizontal="right" vertical="center"/>
    </xf>
    <xf numFmtId="0" fontId="35" fillId="0" borderId="0" xfId="0" applyNumberFormat="1" applyFont="1" applyFill="1" applyBorder="1" applyAlignment="1">
      <alignment horizontal="right" vertical="center"/>
    </xf>
    <xf numFmtId="0" fontId="119" fillId="0" borderId="0" xfId="0" applyFont="1" applyFill="1"/>
    <xf numFmtId="166" fontId="114" fillId="0" borderId="0" xfId="0" applyNumberFormat="1" applyFont="1" applyFill="1" applyBorder="1" applyAlignment="1">
      <alignment horizontal="centerContinuous"/>
    </xf>
    <xf numFmtId="0" fontId="35" fillId="0" borderId="0" xfId="0" quotePrefix="1" applyNumberFormat="1" applyFont="1" applyFill="1" applyAlignment="1">
      <alignment horizontal="left" vertical="center"/>
    </xf>
    <xf numFmtId="166" fontId="114" fillId="0" borderId="102" xfId="0" applyNumberFormat="1" applyFont="1" applyFill="1" applyBorder="1" applyAlignment="1">
      <alignment vertical="center"/>
    </xf>
    <xf numFmtId="0" fontId="114" fillId="0" borderId="0" xfId="0" applyNumberFormat="1" applyFont="1" applyFill="1" applyAlignment="1">
      <alignment horizontal="center" vertical="center"/>
    </xf>
    <xf numFmtId="0" fontId="35" fillId="0" borderId="0" xfId="0" applyNumberFormat="1" applyFont="1" applyFill="1" applyAlignment="1">
      <alignment vertical="top" wrapText="1"/>
    </xf>
    <xf numFmtId="0" fontId="32" fillId="0" borderId="0" xfId="0" applyFont="1" applyFill="1" applyBorder="1" applyAlignment="1">
      <alignment vertical="top"/>
    </xf>
    <xf numFmtId="0" fontId="32" fillId="0" borderId="0" xfId="0" quotePrefix="1" applyFont="1" applyFill="1" applyBorder="1" applyAlignment="1">
      <alignment horizontal="right" vertical="top"/>
    </xf>
    <xf numFmtId="0" fontId="113" fillId="0" borderId="0" xfId="0" applyFont="1" applyFill="1" applyBorder="1" applyAlignment="1">
      <alignment horizontal="left" vertical="top" wrapText="1"/>
    </xf>
    <xf numFmtId="0" fontId="113" fillId="0" borderId="0" xfId="0" applyFont="1" applyFill="1"/>
    <xf numFmtId="0" fontId="132" fillId="0" borderId="0" xfId="0" applyFont="1" applyFill="1" applyBorder="1" applyAlignment="1">
      <alignment horizontal="center" vertical="center"/>
    </xf>
    <xf numFmtId="169" fontId="131" fillId="0" borderId="0" xfId="0" applyNumberFormat="1" applyFont="1" applyFill="1" applyAlignment="1">
      <alignment horizontal="left"/>
    </xf>
    <xf numFmtId="170" fontId="132" fillId="0" borderId="0" xfId="0" applyNumberFormat="1" applyFont="1" applyFill="1" applyAlignment="1">
      <alignment horizontal="center"/>
    </xf>
    <xf numFmtId="41" fontId="132" fillId="0" borderId="0" xfId="0" applyNumberFormat="1" applyFont="1" applyFill="1" applyAlignment="1"/>
    <xf numFmtId="169" fontId="132" fillId="0" borderId="0" xfId="0" applyNumberFormat="1" applyFont="1" applyFill="1" applyAlignment="1">
      <alignment horizontal="left"/>
    </xf>
    <xf numFmtId="166" fontId="132" fillId="0" borderId="0" xfId="1" applyNumberFormat="1" applyFont="1" applyFill="1" applyAlignment="1"/>
    <xf numFmtId="166" fontId="132" fillId="0" borderId="0" xfId="1" applyNumberFormat="1" applyFont="1" applyFill="1" applyBorder="1" applyAlignment="1">
      <alignment horizontal="center" vertical="center" wrapText="1"/>
    </xf>
    <xf numFmtId="166" fontId="132" fillId="0" borderId="0" xfId="1" applyNumberFormat="1" applyFont="1" applyFill="1" applyAlignment="1">
      <alignment vertical="center"/>
    </xf>
    <xf numFmtId="169" fontId="131" fillId="0" borderId="0" xfId="0" quotePrefix="1" applyNumberFormat="1" applyFont="1" applyFill="1" applyAlignment="1">
      <alignment horizontal="left"/>
    </xf>
    <xf numFmtId="169" fontId="132" fillId="0" borderId="0" xfId="0" quotePrefix="1" applyNumberFormat="1" applyFont="1" applyFill="1" applyAlignment="1">
      <alignment horizontal="left"/>
    </xf>
    <xf numFmtId="1" fontId="132" fillId="0" borderId="0" xfId="0" applyNumberFormat="1" applyFont="1" applyFill="1" applyAlignment="1">
      <alignment horizontal="center" vertical="center"/>
    </xf>
    <xf numFmtId="43" fontId="132" fillId="0" borderId="0" xfId="0" applyNumberFormat="1" applyFont="1" applyFill="1" applyAlignment="1">
      <alignment horizontal="center" vertical="center"/>
    </xf>
    <xf numFmtId="0" fontId="113" fillId="0" borderId="0" xfId="0" applyFont="1" applyFill="1" applyAlignment="1">
      <alignment vertical="center"/>
    </xf>
    <xf numFmtId="171" fontId="129" fillId="0" borderId="0" xfId="0" applyNumberFormat="1" applyFont="1" applyFill="1" applyAlignment="1">
      <alignment horizontal="left" vertical="center"/>
    </xf>
    <xf numFmtId="0" fontId="132" fillId="0" borderId="0" xfId="0" applyFont="1" applyFill="1" applyAlignment="1">
      <alignment horizontal="left" vertical="center"/>
    </xf>
    <xf numFmtId="41" fontId="132" fillId="0" borderId="0" xfId="0" applyNumberFormat="1" applyFont="1" applyFill="1" applyAlignment="1">
      <alignment vertical="center"/>
    </xf>
    <xf numFmtId="166" fontId="129" fillId="0" borderId="5" xfId="1" applyNumberFormat="1" applyFont="1" applyFill="1" applyBorder="1" applyAlignment="1">
      <alignment vertical="center"/>
    </xf>
    <xf numFmtId="41" fontId="113" fillId="0" borderId="0" xfId="0" applyNumberFormat="1" applyFont="1" applyFill="1" applyAlignment="1">
      <alignment vertical="center"/>
    </xf>
    <xf numFmtId="171" fontId="129" fillId="0" borderId="0" xfId="0" applyNumberFormat="1" applyFont="1" applyFill="1" applyAlignment="1">
      <alignment horizontal="left"/>
    </xf>
    <xf numFmtId="41" fontId="129" fillId="0" borderId="0" xfId="0" applyNumberFormat="1" applyFont="1" applyFill="1" applyBorder="1" applyAlignment="1"/>
    <xf numFmtId="171" fontId="113" fillId="0" borderId="0" xfId="0" applyNumberFormat="1" applyFont="1" applyFill="1" applyAlignment="1">
      <alignment horizontal="left" vertical="center"/>
    </xf>
    <xf numFmtId="41" fontId="132" fillId="0" borderId="7" xfId="0" applyNumberFormat="1" applyFont="1" applyFill="1" applyBorder="1" applyAlignment="1"/>
    <xf numFmtId="41" fontId="113" fillId="0" borderId="0" xfId="0" applyNumberFormat="1" applyFont="1" applyFill="1"/>
    <xf numFmtId="0" fontId="132" fillId="0" borderId="0" xfId="0" applyFont="1" applyFill="1" applyBorder="1" applyAlignment="1">
      <alignment horizontal="left"/>
    </xf>
    <xf numFmtId="166" fontId="132" fillId="0" borderId="0" xfId="0" applyNumberFormat="1" applyFont="1" applyFill="1" applyBorder="1" applyAlignment="1">
      <alignment horizontal="center"/>
    </xf>
    <xf numFmtId="166" fontId="132" fillId="0" borderId="0" xfId="0" applyNumberFormat="1" applyFont="1" applyFill="1" applyBorder="1" applyAlignment="1" applyProtection="1">
      <alignment horizontal="center"/>
    </xf>
    <xf numFmtId="166" fontId="129" fillId="0" borderId="0" xfId="0" applyNumberFormat="1" applyFont="1" applyFill="1" applyBorder="1" applyAlignment="1">
      <alignment horizontal="center"/>
    </xf>
    <xf numFmtId="166" fontId="113" fillId="0" borderId="0" xfId="0" applyNumberFormat="1" applyFont="1" applyFill="1" applyAlignment="1">
      <alignment vertical="center"/>
    </xf>
    <xf numFmtId="166" fontId="113" fillId="0" borderId="0" xfId="0" applyNumberFormat="1" applyFont="1" applyFill="1"/>
    <xf numFmtId="166" fontId="132" fillId="0" borderId="0" xfId="0" applyNumberFormat="1" applyFont="1" applyFill="1" applyBorder="1" applyAlignment="1">
      <alignment horizontal="center" vertical="center"/>
    </xf>
    <xf numFmtId="165" fontId="132" fillId="0" borderId="0" xfId="0" applyNumberFormat="1" applyFont="1" applyFill="1" applyAlignment="1" applyProtection="1">
      <alignment vertical="top"/>
    </xf>
    <xf numFmtId="0" fontId="129" fillId="0" borderId="0" xfId="0" applyFont="1" applyFill="1" applyAlignment="1"/>
    <xf numFmtId="0" fontId="132" fillId="0" borderId="0" xfId="0" applyFont="1" applyFill="1" applyAlignment="1" applyProtection="1">
      <alignment horizontal="center" vertical="center"/>
    </xf>
    <xf numFmtId="0" fontId="113" fillId="0" borderId="0" xfId="0" quotePrefix="1" applyFont="1" applyFill="1" applyAlignment="1">
      <alignment horizontal="left" indent="1"/>
    </xf>
    <xf numFmtId="0" fontId="132" fillId="0" borderId="0" xfId="0" quotePrefix="1" applyFont="1" applyFill="1" applyAlignment="1">
      <alignment horizontal="center" vertical="center"/>
    </xf>
    <xf numFmtId="0" fontId="132" fillId="0" borderId="0" xfId="0" applyFont="1" applyFill="1" applyBorder="1" applyAlignment="1" applyProtection="1">
      <alignment vertical="center"/>
    </xf>
    <xf numFmtId="0" fontId="132" fillId="0" borderId="0" xfId="0" applyNumberFormat="1" applyFont="1" applyFill="1" applyAlignment="1"/>
    <xf numFmtId="169" fontId="129" fillId="0" borderId="0" xfId="0" applyNumberFormat="1" applyFont="1" applyFill="1" applyBorder="1" applyAlignment="1">
      <alignment horizontal="left"/>
    </xf>
    <xf numFmtId="43" fontId="129" fillId="0" borderId="0" xfId="0" applyNumberFormat="1" applyFont="1" applyFill="1" applyBorder="1" applyAlignment="1">
      <alignment horizontal="center" vertical="center"/>
    </xf>
    <xf numFmtId="0" fontId="132" fillId="0" borderId="0" xfId="0" applyNumberFormat="1" applyFont="1" applyFill="1" applyAlignment="1">
      <alignment vertical="center"/>
    </xf>
    <xf numFmtId="166" fontId="129" fillId="0" borderId="0" xfId="0" applyNumberFormat="1" applyFont="1" applyFill="1" applyBorder="1" applyAlignment="1">
      <alignment horizontal="center" vertical="center"/>
    </xf>
    <xf numFmtId="2" fontId="129" fillId="0" borderId="0" xfId="0" applyNumberFormat="1" applyFont="1" applyFill="1" applyBorder="1" applyAlignment="1">
      <alignment horizontal="right" vertical="center"/>
    </xf>
    <xf numFmtId="169" fontId="132" fillId="0" borderId="0" xfId="0" applyNumberFormat="1" applyFont="1" applyFill="1" applyBorder="1" applyAlignment="1">
      <alignment horizontal="left"/>
    </xf>
    <xf numFmtId="0" fontId="129" fillId="0" borderId="0" xfId="0" applyNumberFormat="1" applyFont="1" applyFill="1" applyBorder="1" applyAlignment="1">
      <alignment horizontal="right" vertical="center"/>
    </xf>
    <xf numFmtId="169" fontId="131" fillId="0" borderId="0" xfId="0" quotePrefix="1" applyNumberFormat="1" applyFont="1" applyFill="1" applyAlignment="1">
      <alignment horizontal="left" indent="1"/>
    </xf>
    <xf numFmtId="0" fontId="140" fillId="0" borderId="0" xfId="0" applyFont="1" applyFill="1" applyBorder="1" applyAlignment="1">
      <alignment horizontal="center" vertical="center"/>
    </xf>
    <xf numFmtId="0" fontId="113" fillId="0" borderId="0" xfId="0" applyNumberFormat="1" applyFont="1" applyFill="1"/>
    <xf numFmtId="0" fontId="113" fillId="0" borderId="0" xfId="0" applyNumberFormat="1" applyFont="1" applyFill="1" applyAlignment="1">
      <alignment horizontal="center" vertical="center"/>
    </xf>
    <xf numFmtId="2" fontId="132" fillId="0" borderId="0" xfId="0" applyNumberFormat="1" applyFont="1" applyFill="1" applyAlignment="1">
      <alignment horizontal="center" vertical="center"/>
    </xf>
    <xf numFmtId="182" fontId="132" fillId="0" borderId="0" xfId="0" applyNumberFormat="1" applyFont="1" applyFill="1" applyBorder="1" applyAlignment="1" applyProtection="1">
      <alignment vertical="center"/>
    </xf>
    <xf numFmtId="182" fontId="129" fillId="0" borderId="0" xfId="0" applyNumberFormat="1" applyFont="1" applyFill="1" applyAlignment="1" applyProtection="1">
      <alignment vertical="center"/>
    </xf>
    <xf numFmtId="182" fontId="132" fillId="0" borderId="0" xfId="0" applyNumberFormat="1" applyFont="1" applyFill="1" applyAlignment="1"/>
    <xf numFmtId="182" fontId="132" fillId="0" borderId="0" xfId="1" applyNumberFormat="1" applyFont="1" applyFill="1" applyBorder="1" applyAlignment="1" applyProtection="1"/>
    <xf numFmtId="182" fontId="132" fillId="0" borderId="0" xfId="0" applyNumberFormat="1" applyFont="1" applyFill="1" applyBorder="1" applyAlignment="1" applyProtection="1"/>
    <xf numFmtId="182" fontId="132" fillId="0" borderId="0" xfId="0" applyNumberFormat="1" applyFont="1" applyFill="1" applyBorder="1" applyAlignment="1">
      <alignment vertical="center"/>
    </xf>
    <xf numFmtId="182" fontId="132" fillId="0" borderId="0" xfId="1" applyNumberFormat="1" applyFont="1" applyFill="1" applyAlignment="1">
      <alignment vertical="center"/>
    </xf>
    <xf numFmtId="182" fontId="132" fillId="0" borderId="0" xfId="0" applyNumberFormat="1" applyFont="1" applyFill="1" applyAlignment="1">
      <alignment vertical="center"/>
    </xf>
    <xf numFmtId="182" fontId="132" fillId="0" borderId="0" xfId="0" applyNumberFormat="1" applyFont="1" applyFill="1" applyAlignment="1" applyProtection="1"/>
    <xf numFmtId="182" fontId="129" fillId="0" borderId="0" xfId="0" applyNumberFormat="1" applyFont="1" applyFill="1" applyAlignment="1">
      <alignment vertical="center"/>
    </xf>
    <xf numFmtId="182" fontId="113" fillId="0" borderId="0" xfId="0" applyNumberFormat="1" applyFont="1" applyFill="1" applyAlignment="1"/>
    <xf numFmtId="182" fontId="129" fillId="0" borderId="5" xfId="1" applyNumberFormat="1" applyFont="1" applyFill="1" applyBorder="1" applyAlignment="1">
      <alignment vertical="center"/>
    </xf>
    <xf numFmtId="182" fontId="129" fillId="0" borderId="0" xfId="0" applyNumberFormat="1" applyFont="1" applyFill="1" applyBorder="1" applyAlignment="1">
      <alignment vertical="center"/>
    </xf>
    <xf numFmtId="182" fontId="132" fillId="0" borderId="7" xfId="0" applyNumberFormat="1" applyFont="1" applyFill="1" applyBorder="1" applyAlignment="1">
      <alignment vertical="center"/>
    </xf>
    <xf numFmtId="166" fontId="140" fillId="0" borderId="0" xfId="0" applyNumberFormat="1" applyFont="1" applyFill="1" applyBorder="1" applyAlignment="1">
      <alignment horizontal="center"/>
    </xf>
    <xf numFmtId="166" fontId="140" fillId="0" borderId="0" xfId="0" applyNumberFormat="1" applyFont="1" applyFill="1" applyBorder="1" applyAlignment="1" applyProtection="1">
      <alignment horizontal="center"/>
    </xf>
    <xf numFmtId="0" fontId="140" fillId="0" borderId="0" xfId="0" applyFont="1" applyFill="1" applyBorder="1" applyAlignment="1"/>
    <xf numFmtId="0" fontId="132" fillId="0" borderId="0" xfId="0" applyNumberFormat="1" applyFont="1" applyFill="1" applyBorder="1" applyAlignment="1">
      <alignment horizontal="left"/>
    </xf>
    <xf numFmtId="0" fontId="113" fillId="0" borderId="0" xfId="0" applyNumberFormat="1" applyFont="1" applyFill="1" applyBorder="1"/>
    <xf numFmtId="0" fontId="137" fillId="0" borderId="0" xfId="0" applyNumberFormat="1" applyFont="1" applyFill="1" applyBorder="1" applyAlignment="1" applyProtection="1">
      <alignment vertical="top"/>
    </xf>
    <xf numFmtId="0" fontId="140" fillId="0" borderId="0" xfId="0" applyNumberFormat="1" applyFont="1" applyFill="1" applyBorder="1" applyAlignment="1">
      <alignment horizontal="center"/>
    </xf>
    <xf numFmtId="0" fontId="140" fillId="0" borderId="0" xfId="0" applyNumberFormat="1" applyFont="1" applyFill="1" applyBorder="1" applyAlignment="1" applyProtection="1">
      <alignment horizontal="center"/>
    </xf>
    <xf numFmtId="0" fontId="140" fillId="0" borderId="0" xfId="0" applyNumberFormat="1" applyFont="1" applyFill="1" applyBorder="1" applyAlignment="1"/>
    <xf numFmtId="0" fontId="137" fillId="0" borderId="0" xfId="0" applyNumberFormat="1" applyFont="1" applyFill="1" applyBorder="1" applyAlignment="1">
      <alignment horizontal="center" vertical="center" wrapText="1"/>
    </xf>
    <xf numFmtId="168" fontId="35" fillId="7" borderId="0" xfId="0" quotePrefix="1" applyNumberFormat="1" applyFont="1" applyFill="1" applyAlignment="1">
      <alignment horizontal="left"/>
    </xf>
    <xf numFmtId="169" fontId="118" fillId="7" borderId="0" xfId="0" applyNumberFormat="1" applyFont="1" applyFill="1" applyBorder="1" applyAlignment="1">
      <alignment horizontal="left"/>
    </xf>
    <xf numFmtId="165" fontId="131" fillId="0" borderId="0" xfId="0" applyNumberFormat="1" applyFont="1" applyFill="1" applyAlignment="1" applyProtection="1">
      <alignment vertical="top"/>
    </xf>
    <xf numFmtId="166" fontId="131" fillId="0" borderId="0" xfId="0" quotePrefix="1" applyNumberFormat="1" applyFont="1" applyFill="1" applyBorder="1" applyAlignment="1">
      <alignment horizontal="center"/>
    </xf>
    <xf numFmtId="166" fontId="131" fillId="0" borderId="0" xfId="0" applyNumberFormat="1" applyFont="1" applyFill="1" applyBorder="1" applyAlignment="1">
      <alignment horizontal="center"/>
    </xf>
    <xf numFmtId="165" fontId="132" fillId="0" borderId="0" xfId="0" applyNumberFormat="1" applyFont="1" applyFill="1" applyAlignment="1">
      <alignment horizontal="left" vertical="center"/>
    </xf>
    <xf numFmtId="166" fontId="131" fillId="0" borderId="0" xfId="0" applyNumberFormat="1" applyFont="1" applyFill="1" applyBorder="1" applyAlignment="1">
      <alignment horizontal="center" vertical="center"/>
    </xf>
    <xf numFmtId="43" fontId="131" fillId="0" borderId="0" xfId="0" applyNumberFormat="1" applyFont="1" applyFill="1" applyBorder="1" applyAlignment="1">
      <alignment horizontal="center" vertical="center"/>
    </xf>
    <xf numFmtId="0" fontId="131" fillId="0" borderId="0" xfId="0" applyFont="1" applyFill="1" applyBorder="1" applyAlignment="1">
      <alignment horizontal="center" vertical="center"/>
    </xf>
    <xf numFmtId="165" fontId="141" fillId="0" borderId="0" xfId="0" applyNumberFormat="1" applyFont="1" applyFill="1" applyBorder="1" applyAlignment="1" applyProtection="1">
      <alignment vertical="top"/>
    </xf>
    <xf numFmtId="0" fontId="113" fillId="0" borderId="0" xfId="0" applyFont="1" applyFill="1" applyAlignment="1"/>
    <xf numFmtId="165" fontId="132" fillId="0" borderId="0" xfId="0" applyNumberFormat="1" applyFont="1" applyFill="1" applyAlignment="1">
      <alignment vertical="center"/>
    </xf>
    <xf numFmtId="165" fontId="131" fillId="0" borderId="0" xfId="0" applyNumberFormat="1" applyFont="1" applyFill="1" applyBorder="1" applyAlignment="1">
      <alignment vertical="center"/>
    </xf>
    <xf numFmtId="182" fontId="131" fillId="0" borderId="0" xfId="0" applyNumberFormat="1" applyFont="1" applyFill="1" applyBorder="1" applyAlignment="1">
      <alignment vertical="center"/>
    </xf>
    <xf numFmtId="182" fontId="113" fillId="0" borderId="0" xfId="1" applyNumberFormat="1" applyFont="1" applyFill="1" applyAlignment="1"/>
    <xf numFmtId="182" fontId="131" fillId="0" borderId="5" xfId="1" applyNumberFormat="1" applyFont="1" applyFill="1" applyBorder="1" applyAlignment="1">
      <alignment vertical="center"/>
    </xf>
    <xf numFmtId="0" fontId="143" fillId="0" borderId="0" xfId="0" applyFont="1" applyFill="1"/>
    <xf numFmtId="166" fontId="132" fillId="0" borderId="0" xfId="1" applyNumberFormat="1" applyFont="1" applyFill="1" applyBorder="1" applyAlignment="1">
      <alignment horizontal="center" vertical="center"/>
    </xf>
    <xf numFmtId="0" fontId="144" fillId="0" borderId="0" xfId="0" applyFont="1" applyFill="1"/>
    <xf numFmtId="182" fontId="131" fillId="0" borderId="0" xfId="1" applyNumberFormat="1" applyFont="1" applyFill="1" applyBorder="1" applyAlignment="1">
      <alignment vertical="center"/>
    </xf>
    <xf numFmtId="1" fontId="35" fillId="0" borderId="0" xfId="0" applyNumberFormat="1" applyFont="1" applyFill="1" applyAlignment="1">
      <alignment horizontal="center" vertical="center" wrapText="1"/>
    </xf>
    <xf numFmtId="166" fontId="131" fillId="0" borderId="0" xfId="0" quotePrefix="1" applyNumberFormat="1" applyFont="1" applyFill="1" applyBorder="1" applyAlignment="1"/>
    <xf numFmtId="0" fontId="131" fillId="0" borderId="0" xfId="0" applyFont="1" applyFill="1" applyBorder="1" applyAlignment="1">
      <alignment vertical="center"/>
    </xf>
    <xf numFmtId="2" fontId="132" fillId="0" borderId="0" xfId="1" applyNumberFormat="1" applyFont="1" applyFill="1" applyBorder="1" applyAlignment="1">
      <alignment vertical="center"/>
    </xf>
    <xf numFmtId="2" fontId="132" fillId="0" borderId="0" xfId="0" applyNumberFormat="1" applyFont="1" applyFill="1" applyBorder="1" applyAlignment="1">
      <alignment vertical="center"/>
    </xf>
    <xf numFmtId="0" fontId="131" fillId="0" borderId="0" xfId="0" applyNumberFormat="1" applyFont="1" applyFill="1" applyBorder="1" applyAlignment="1">
      <alignment vertical="center"/>
    </xf>
    <xf numFmtId="41" fontId="131" fillId="0" borderId="5" xfId="0" applyNumberFormat="1" applyFont="1" applyFill="1" applyBorder="1" applyAlignment="1">
      <alignment vertical="center"/>
    </xf>
    <xf numFmtId="0" fontId="129" fillId="0" borderId="0" xfId="0" applyNumberFormat="1" applyFont="1" applyFill="1" applyBorder="1" applyAlignment="1">
      <alignment horizontal="center" vertical="center"/>
    </xf>
    <xf numFmtId="0" fontId="129" fillId="0" borderId="0" xfId="0" applyNumberFormat="1" applyFont="1" applyFill="1" applyAlignment="1">
      <alignment horizontal="center"/>
    </xf>
    <xf numFmtId="0" fontId="113" fillId="0" borderId="0" xfId="0" applyFont="1" applyFill="1" applyBorder="1" applyAlignment="1">
      <alignment horizontal="justify" vertical="top" wrapText="1"/>
    </xf>
    <xf numFmtId="165" fontId="132" fillId="0" borderId="0" xfId="0" applyNumberFormat="1" applyFont="1" applyFill="1" applyBorder="1" applyAlignment="1">
      <alignment horizontal="left" vertical="top" indent="2"/>
    </xf>
    <xf numFmtId="165" fontId="132" fillId="0" borderId="0" xfId="0" applyNumberFormat="1" applyFont="1" applyFill="1" applyAlignment="1">
      <alignment vertical="top"/>
    </xf>
    <xf numFmtId="166" fontId="113" fillId="0" borderId="0" xfId="1" applyNumberFormat="1" applyFont="1" applyFill="1" applyBorder="1" applyAlignment="1">
      <alignment horizontal="justify" vertical="top" wrapText="1"/>
    </xf>
    <xf numFmtId="43" fontId="113" fillId="0" borderId="0" xfId="1" applyFont="1" applyFill="1" applyBorder="1" applyAlignment="1">
      <alignment horizontal="justify" vertical="top" wrapText="1"/>
    </xf>
    <xf numFmtId="0" fontId="127" fillId="0" borderId="0" xfId="0" applyNumberFormat="1" applyFont="1" applyFill="1" applyBorder="1" applyAlignment="1">
      <alignment horizontal="left"/>
    </xf>
    <xf numFmtId="0" fontId="136" fillId="0" borderId="0" xfId="0" applyNumberFormat="1" applyFont="1" applyFill="1" applyBorder="1" applyAlignment="1" applyProtection="1">
      <alignment horizontal="center" vertical="center" wrapText="1"/>
    </xf>
    <xf numFmtId="0" fontId="126" fillId="0" borderId="0" xfId="0" applyNumberFormat="1" applyFont="1" applyFill="1" applyBorder="1"/>
    <xf numFmtId="0" fontId="113" fillId="0" borderId="0" xfId="0" applyFont="1" applyFill="1" applyAlignment="1">
      <alignment horizontal="left" indent="1"/>
    </xf>
    <xf numFmtId="165" fontId="132" fillId="0" borderId="0" xfId="0" applyNumberFormat="1" applyFont="1" applyFill="1" applyAlignment="1" applyProtection="1">
      <alignment horizontal="left" vertical="top" indent="1"/>
    </xf>
    <xf numFmtId="165" fontId="132" fillId="0" borderId="0" xfId="0" applyNumberFormat="1" applyFont="1" applyFill="1" applyAlignment="1">
      <alignment horizontal="left" vertical="center" indent="1"/>
    </xf>
    <xf numFmtId="0" fontId="118" fillId="0" borderId="0" xfId="0" applyNumberFormat="1" applyFont="1" applyFill="1" applyBorder="1" applyAlignment="1">
      <alignment horizontal="center" vertical="center" wrapText="1"/>
    </xf>
    <xf numFmtId="165" fontId="142" fillId="0" borderId="0" xfId="0" applyNumberFormat="1" applyFont="1" applyFill="1" applyBorder="1" applyAlignment="1" applyProtection="1">
      <alignment horizontal="center" vertical="center" wrapText="1"/>
    </xf>
    <xf numFmtId="41" fontId="132" fillId="0" borderId="7" xfId="0" applyNumberFormat="1" applyFont="1" applyFill="1" applyBorder="1" applyAlignment="1">
      <alignment vertical="center"/>
    </xf>
    <xf numFmtId="0" fontId="35" fillId="0" borderId="0" xfId="0" quotePrefix="1" applyFont="1" applyFill="1" applyBorder="1" applyAlignment="1">
      <alignment horizontal="center" vertical="top" wrapText="1"/>
    </xf>
    <xf numFmtId="0" fontId="32" fillId="0" borderId="0" xfId="0" applyFont="1" applyFill="1" applyBorder="1" applyAlignment="1">
      <alignment horizontal="justify" vertical="top" wrapText="1"/>
    </xf>
    <xf numFmtId="0" fontId="113" fillId="0" borderId="0" xfId="0" applyNumberFormat="1" applyFont="1" applyFill="1" applyAlignment="1"/>
    <xf numFmtId="166" fontId="113" fillId="0" borderId="0" xfId="0" applyNumberFormat="1" applyFont="1" applyFill="1" applyAlignment="1"/>
    <xf numFmtId="166" fontId="113" fillId="0" borderId="0" xfId="0" applyNumberFormat="1" applyFont="1" applyFill="1" applyBorder="1" applyAlignment="1"/>
    <xf numFmtId="49" fontId="118" fillId="0" borderId="0" xfId="0" quotePrefix="1" applyNumberFormat="1" applyFont="1" applyFill="1" applyBorder="1" applyAlignment="1">
      <alignment horizontal="center" vertical="center"/>
    </xf>
    <xf numFmtId="0" fontId="118" fillId="0" borderId="0" xfId="0" applyFont="1" applyFill="1" applyAlignment="1">
      <alignment horizontal="center" vertical="center"/>
    </xf>
    <xf numFmtId="1" fontId="35" fillId="0" borderId="0" xfId="0" quotePrefix="1" applyNumberFormat="1" applyFont="1" applyFill="1" applyAlignment="1">
      <alignment horizontal="left" vertical="top"/>
    </xf>
    <xf numFmtId="0" fontId="32" fillId="0" borderId="0" xfId="0" quotePrefix="1" applyFont="1" applyFill="1" applyAlignment="1">
      <alignment vertical="top"/>
    </xf>
    <xf numFmtId="0" fontId="132" fillId="0" borderId="0" xfId="0" applyNumberFormat="1" applyFont="1" applyFill="1" applyAlignment="1">
      <alignment horizontal="right" vertical="top"/>
    </xf>
    <xf numFmtId="166" fontId="114" fillId="0" borderId="0" xfId="1" applyNumberFormat="1" applyFont="1" applyFill="1" applyAlignment="1">
      <alignment vertical="center"/>
    </xf>
    <xf numFmtId="168" fontId="132" fillId="0" borderId="0" xfId="0" applyNumberFormat="1" applyFont="1" applyFill="1" applyAlignment="1">
      <alignment horizontal="center"/>
    </xf>
    <xf numFmtId="166" fontId="114" fillId="0" borderId="104" xfId="0" applyNumberFormat="1" applyFont="1" applyFill="1" applyBorder="1" applyAlignment="1"/>
    <xf numFmtId="0" fontId="35" fillId="0" borderId="0" xfId="0" quotePrefix="1" applyNumberFormat="1" applyFont="1" applyFill="1" applyBorder="1" applyAlignment="1">
      <alignment horizontal="center" vertical="center"/>
    </xf>
    <xf numFmtId="15" fontId="35" fillId="0" borderId="0" xfId="0" quotePrefix="1" applyNumberFormat="1" applyFont="1" applyFill="1" applyBorder="1" applyAlignment="1">
      <alignment vertical="center"/>
    </xf>
    <xf numFmtId="0" fontId="35" fillId="0" borderId="0" xfId="0" applyFont="1" applyFill="1" applyBorder="1" applyAlignment="1"/>
    <xf numFmtId="16" fontId="35" fillId="0" borderId="0" xfId="0" applyNumberFormat="1" applyFont="1" applyFill="1" applyBorder="1" applyAlignment="1">
      <alignment vertical="center" wrapText="1"/>
    </xf>
    <xf numFmtId="0" fontId="129" fillId="0" borderId="0" xfId="0" quotePrefix="1" applyFont="1" applyFill="1" applyAlignment="1">
      <alignment wrapText="1"/>
    </xf>
    <xf numFmtId="0" fontId="113" fillId="0" borderId="0" xfId="0" applyFont="1" applyFill="1" applyBorder="1" applyAlignment="1"/>
    <xf numFmtId="0" fontId="129" fillId="0" borderId="0" xfId="0" applyFont="1" applyFill="1"/>
    <xf numFmtId="182" fontId="113" fillId="0" borderId="0" xfId="0" quotePrefix="1" applyNumberFormat="1" applyFont="1" applyFill="1" applyAlignment="1"/>
    <xf numFmtId="182" fontId="129" fillId="0" borderId="0" xfId="0" quotePrefix="1" applyNumberFormat="1" applyFont="1" applyFill="1" applyAlignment="1"/>
    <xf numFmtId="182" fontId="113" fillId="0" borderId="0" xfId="1" quotePrefix="1" applyNumberFormat="1" applyFont="1" applyFill="1" applyAlignment="1"/>
    <xf numFmtId="166" fontId="129" fillId="0" borderId="0" xfId="0" quotePrefix="1" applyNumberFormat="1" applyFont="1" applyFill="1" applyAlignment="1">
      <alignment wrapText="1"/>
    </xf>
    <xf numFmtId="0" fontId="129" fillId="0" borderId="0" xfId="0" quotePrefix="1" applyFont="1" applyFill="1" applyAlignment="1"/>
    <xf numFmtId="0" fontId="138" fillId="0" borderId="0" xfId="0" applyFont="1" applyFill="1"/>
    <xf numFmtId="43" fontId="35" fillId="0" borderId="0" xfId="1" applyFont="1" applyFill="1"/>
    <xf numFmtId="166" fontId="35" fillId="0" borderId="0" xfId="1" applyNumberFormat="1" applyFont="1" applyFill="1"/>
    <xf numFmtId="0" fontId="135" fillId="0" borderId="0" xfId="148" applyFont="1" applyFill="1" applyAlignment="1">
      <alignment horizontal="left"/>
    </xf>
    <xf numFmtId="0" fontId="135" fillId="0" borderId="0" xfId="148" applyFont="1" applyFill="1"/>
    <xf numFmtId="182" fontId="135" fillId="0" borderId="0" xfId="148" applyNumberFormat="1" applyFont="1" applyFill="1" applyAlignment="1"/>
    <xf numFmtId="182" fontId="129" fillId="0" borderId="0" xfId="0" applyNumberFormat="1" applyFont="1" applyFill="1" applyBorder="1" applyAlignment="1" applyProtection="1">
      <alignment vertical="center"/>
    </xf>
    <xf numFmtId="182" fontId="113" fillId="0" borderId="104" xfId="0" applyNumberFormat="1" applyFont="1" applyFill="1" applyBorder="1" applyAlignment="1">
      <alignment vertical="center"/>
    </xf>
    <xf numFmtId="182" fontId="113" fillId="0" borderId="4" xfId="0" applyNumberFormat="1" applyFont="1" applyFill="1" applyBorder="1" applyAlignment="1">
      <alignment vertical="center"/>
    </xf>
    <xf numFmtId="182" fontId="132" fillId="0" borderId="3" xfId="0" applyNumberFormat="1" applyFont="1" applyFill="1" applyBorder="1" applyAlignment="1">
      <alignment vertical="center"/>
    </xf>
    <xf numFmtId="182" fontId="113" fillId="0" borderId="0" xfId="0" applyNumberFormat="1" applyFont="1" applyFill="1" applyBorder="1" applyAlignment="1">
      <alignment vertical="center"/>
    </xf>
    <xf numFmtId="171" fontId="113" fillId="0" borderId="0" xfId="0" quotePrefix="1" applyNumberFormat="1" applyFont="1" applyFill="1" applyAlignment="1">
      <alignment horizontal="left" vertical="center"/>
    </xf>
    <xf numFmtId="166" fontId="132" fillId="0" borderId="0" xfId="0" quotePrefix="1" applyNumberFormat="1" applyFont="1" applyFill="1" applyBorder="1" applyAlignment="1">
      <alignment horizontal="center" vertical="top" wrapText="1"/>
    </xf>
    <xf numFmtId="0" fontId="132" fillId="0" borderId="0" xfId="3" quotePrefix="1" applyNumberFormat="1" applyFont="1" applyFill="1" applyBorder="1" applyAlignment="1">
      <alignment horizontal="center" vertical="top" wrapText="1"/>
    </xf>
    <xf numFmtId="169" fontId="132" fillId="0" borderId="0" xfId="0" applyNumberFormat="1" applyFont="1" applyFill="1" applyBorder="1" applyAlignment="1">
      <alignment horizontal="left" vertical="top"/>
    </xf>
    <xf numFmtId="10" fontId="132" fillId="0" borderId="0" xfId="3" applyNumberFormat="1" applyFont="1" applyFill="1" applyBorder="1" applyAlignment="1">
      <alignment horizontal="center" vertical="top"/>
    </xf>
    <xf numFmtId="182" fontId="132" fillId="0" borderId="0" xfId="1" applyNumberFormat="1" applyFont="1" applyFill="1" applyBorder="1" applyAlignment="1">
      <alignment vertical="top"/>
    </xf>
    <xf numFmtId="182" fontId="132" fillId="0" borderId="0" xfId="0" applyNumberFormat="1" applyFont="1" applyFill="1" applyBorder="1" applyAlignment="1">
      <alignment vertical="top"/>
    </xf>
    <xf numFmtId="2" fontId="132" fillId="0" borderId="0" xfId="1" applyNumberFormat="1" applyFont="1" applyFill="1" applyBorder="1" applyAlignment="1">
      <alignment vertical="top"/>
    </xf>
    <xf numFmtId="182" fontId="113" fillId="0" borderId="0" xfId="1" applyNumberFormat="1" applyFont="1" applyFill="1" applyAlignment="1">
      <alignment vertical="top"/>
    </xf>
    <xf numFmtId="10" fontId="113" fillId="0" borderId="0" xfId="3" applyNumberFormat="1" applyFont="1" applyFill="1" applyBorder="1" applyAlignment="1">
      <alignment horizontal="center" vertical="top" wrapText="1"/>
    </xf>
    <xf numFmtId="0" fontId="132" fillId="0" borderId="0" xfId="0" quotePrefix="1" applyNumberFormat="1" applyFont="1" applyFill="1" applyAlignment="1">
      <alignment horizontal="center"/>
    </xf>
    <xf numFmtId="0" fontId="129" fillId="0" borderId="0" xfId="0" applyNumberFormat="1" applyFont="1" applyFill="1" applyAlignment="1">
      <alignment horizontal="left" vertical="top"/>
    </xf>
    <xf numFmtId="0" fontId="146" fillId="0" borderId="0" xfId="149" applyFont="1" applyFill="1" applyAlignment="1">
      <alignment vertical="top"/>
    </xf>
    <xf numFmtId="0" fontId="146" fillId="0" borderId="0" xfId="148" applyFont="1" applyFill="1" applyBorder="1" applyAlignment="1">
      <alignment vertical="top"/>
    </xf>
    <xf numFmtId="182" fontId="146" fillId="0" borderId="0" xfId="150" applyNumberFormat="1" applyFont="1" applyFill="1" applyBorder="1" applyAlignment="1">
      <alignment vertical="top"/>
    </xf>
    <xf numFmtId="182" fontId="147" fillId="0" borderId="0" xfId="150" quotePrefix="1" applyNumberFormat="1" applyFont="1" applyFill="1" applyBorder="1" applyAlignment="1">
      <alignment vertical="top"/>
    </xf>
    <xf numFmtId="182" fontId="146" fillId="0" borderId="0" xfId="150" applyNumberFormat="1" applyFont="1" applyFill="1" applyAlignment="1">
      <alignment vertical="top"/>
    </xf>
    <xf numFmtId="166" fontId="145" fillId="0" borderId="0" xfId="150" applyNumberFormat="1" applyFont="1" applyFill="1" applyBorder="1" applyAlignment="1">
      <alignment vertical="top"/>
    </xf>
    <xf numFmtId="2" fontId="146" fillId="0" borderId="0" xfId="149" applyNumberFormat="1" applyFont="1" applyFill="1" applyBorder="1" applyAlignment="1">
      <alignment vertical="top"/>
    </xf>
    <xf numFmtId="166" fontId="146" fillId="0" borderId="0" xfId="150" applyNumberFormat="1" applyFont="1" applyFill="1" applyBorder="1" applyAlignment="1">
      <alignment vertical="top"/>
    </xf>
    <xf numFmtId="0" fontId="146" fillId="0" borderId="0" xfId="149" applyFont="1" applyFill="1" applyBorder="1" applyAlignment="1">
      <alignment horizontal="left"/>
    </xf>
    <xf numFmtId="0" fontId="132" fillId="0" borderId="0" xfId="0" quotePrefix="1" applyNumberFormat="1" applyFont="1" applyFill="1" applyBorder="1" applyAlignment="1">
      <alignment horizontal="center" vertical="top" wrapText="1"/>
    </xf>
    <xf numFmtId="0" fontId="143" fillId="0" borderId="0" xfId="0" applyNumberFormat="1" applyFont="1" applyFill="1"/>
    <xf numFmtId="0" fontId="132" fillId="0" borderId="0" xfId="0" quotePrefix="1" applyFont="1" applyFill="1" applyBorder="1" applyAlignment="1">
      <alignment horizontal="center" vertical="center"/>
    </xf>
    <xf numFmtId="0" fontId="129" fillId="0" borderId="0" xfId="0" applyNumberFormat="1" applyFont="1" applyFill="1"/>
    <xf numFmtId="49" fontId="35" fillId="0" borderId="0" xfId="0" applyNumberFormat="1" applyFont="1" applyFill="1" applyBorder="1" applyAlignment="1">
      <alignment horizontal="center" vertical="center"/>
    </xf>
    <xf numFmtId="0" fontId="118" fillId="0" borderId="0" xfId="0" applyFont="1" applyFill="1" applyBorder="1"/>
    <xf numFmtId="165" fontId="113" fillId="0" borderId="0" xfId="151" applyNumberFormat="1" applyFont="1" applyFill="1" applyAlignment="1">
      <alignment horizontal="center" vertical="center"/>
    </xf>
    <xf numFmtId="0" fontId="35" fillId="0" borderId="0" xfId="0" applyFont="1" applyFill="1" applyBorder="1" applyAlignment="1">
      <alignment horizontal="justify" vertical="top" wrapText="1"/>
    </xf>
    <xf numFmtId="165" fontId="113" fillId="0" borderId="0" xfId="152" applyNumberFormat="1" applyFont="1" applyFill="1" applyAlignment="1">
      <alignment horizontal="center" vertical="center"/>
    </xf>
    <xf numFmtId="169" fontId="113" fillId="0" borderId="0" xfId="152" applyNumberFormat="1" applyFont="1" applyFill="1" applyAlignment="1">
      <alignment horizontal="center" vertical="center"/>
    </xf>
    <xf numFmtId="165" fontId="113" fillId="0" borderId="0" xfId="152" quotePrefix="1" applyNumberFormat="1" applyFont="1" applyFill="1" applyAlignment="1">
      <alignment horizontal="center" vertical="center"/>
    </xf>
    <xf numFmtId="165" fontId="113" fillId="0" borderId="0" xfId="152" applyNumberFormat="1" applyFont="1" applyFill="1" applyAlignment="1">
      <alignment vertical="top"/>
    </xf>
    <xf numFmtId="165" fontId="113" fillId="0" borderId="0" xfId="154" applyNumberFormat="1" applyFont="1" applyFill="1" applyAlignment="1">
      <alignment vertical="top"/>
    </xf>
    <xf numFmtId="165" fontId="113" fillId="0" borderId="0" xfId="150" applyNumberFormat="1" applyFont="1" applyFill="1" applyAlignment="1">
      <alignment vertical="top"/>
    </xf>
    <xf numFmtId="0" fontId="32" fillId="0" borderId="0" xfId="0" applyFont="1" applyFill="1" applyBorder="1" applyAlignment="1">
      <alignment horizontal="left" vertical="top" wrapText="1"/>
    </xf>
    <xf numFmtId="0" fontId="35" fillId="0" borderId="0" xfId="0" applyFont="1" applyFill="1" applyAlignment="1">
      <alignment horizontal="center" vertical="top"/>
    </xf>
    <xf numFmtId="0" fontId="35" fillId="0" borderId="0" xfId="0" applyFont="1" applyFill="1" applyAlignment="1">
      <alignment horizontal="center" vertical="center"/>
    </xf>
    <xf numFmtId="166" fontId="35" fillId="0" borderId="0" xfId="0" applyNumberFormat="1" applyFont="1" applyFill="1" applyAlignment="1">
      <alignment horizontal="center" vertical="top"/>
    </xf>
    <xf numFmtId="0" fontId="117" fillId="0" borderId="0" xfId="0" applyFont="1" applyFill="1"/>
    <xf numFmtId="0" fontId="32" fillId="0" borderId="0" xfId="0" applyNumberFormat="1" applyFont="1" applyFill="1" applyBorder="1"/>
    <xf numFmtId="0" fontId="137" fillId="0" borderId="102" xfId="151" applyNumberFormat="1" applyFont="1" applyFill="1" applyBorder="1" applyAlignment="1">
      <alignment horizontal="center" vertical="center" wrapText="1"/>
    </xf>
    <xf numFmtId="0" fontId="138" fillId="0" borderId="0" xfId="152" applyNumberFormat="1" applyFont="1" applyFill="1" applyBorder="1" applyAlignment="1">
      <alignment vertical="center" wrapText="1"/>
    </xf>
    <xf numFmtId="0" fontId="138" fillId="0" borderId="0" xfId="153" applyNumberFormat="1" applyFont="1" applyFill="1" applyBorder="1" applyAlignment="1">
      <alignment vertical="center" wrapText="1"/>
    </xf>
    <xf numFmtId="0" fontId="138" fillId="0" borderId="102" xfId="153" applyNumberFormat="1" applyFont="1" applyFill="1" applyBorder="1" applyAlignment="1">
      <alignment vertical="center" wrapText="1"/>
    </xf>
    <xf numFmtId="0" fontId="137" fillId="0" borderId="0" xfId="151" applyNumberFormat="1" applyFont="1" applyFill="1" applyBorder="1" applyAlignment="1">
      <alignment horizontal="center" vertical="center" wrapText="1"/>
    </xf>
    <xf numFmtId="0" fontId="137" fillId="0" borderId="0" xfId="151" applyNumberFormat="1" applyFont="1" applyFill="1" applyBorder="1" applyAlignment="1">
      <alignment vertical="center"/>
    </xf>
    <xf numFmtId="182" fontId="132" fillId="0" borderId="0" xfId="1" applyNumberFormat="1" applyFont="1" applyFill="1" applyBorder="1" applyAlignment="1"/>
    <xf numFmtId="0" fontId="132" fillId="0" borderId="0" xfId="0" applyFont="1" applyFill="1" applyBorder="1" applyAlignment="1">
      <alignment vertical="top"/>
    </xf>
    <xf numFmtId="165" fontId="113" fillId="0" borderId="0" xfId="152" applyNumberFormat="1" applyFont="1" applyFill="1" applyBorder="1" applyAlignment="1">
      <alignment horizontal="center" vertical="center"/>
    </xf>
    <xf numFmtId="169" fontId="113" fillId="0" borderId="0" xfId="152" applyNumberFormat="1" applyFont="1" applyFill="1" applyBorder="1" applyAlignment="1">
      <alignment horizontal="center" vertical="center"/>
    </xf>
    <xf numFmtId="165" fontId="113" fillId="0" borderId="0" xfId="151" applyNumberFormat="1" applyFont="1" applyFill="1" applyBorder="1" applyAlignment="1">
      <alignment horizontal="center" vertical="center"/>
    </xf>
    <xf numFmtId="0" fontId="35" fillId="0" borderId="0" xfId="0" quotePrefix="1" applyFont="1" applyFill="1" applyBorder="1" applyAlignment="1">
      <alignment vertical="top"/>
    </xf>
    <xf numFmtId="0" fontId="114" fillId="0" borderId="0" xfId="0" quotePrefix="1" applyNumberFormat="1" applyFont="1" applyFill="1" applyBorder="1" applyAlignment="1" applyProtection="1">
      <alignment vertical="top"/>
    </xf>
    <xf numFmtId="0" fontId="35" fillId="0" borderId="0" xfId="0" quotePrefix="1" applyNumberFormat="1" applyFont="1" applyFill="1" applyAlignment="1">
      <alignment horizontal="center" vertical="top" wrapText="1"/>
    </xf>
    <xf numFmtId="0" fontId="35" fillId="0" borderId="0" xfId="0" applyNumberFormat="1" applyFont="1" applyFill="1" applyAlignment="1">
      <alignment horizontal="center" vertical="top" wrapText="1"/>
    </xf>
    <xf numFmtId="0" fontId="149" fillId="0" borderId="0" xfId="0" applyFont="1" applyFill="1" applyBorder="1" applyAlignment="1">
      <alignment vertical="center"/>
    </xf>
    <xf numFmtId="0" fontId="139" fillId="0" borderId="0" xfId="0" quotePrefix="1" applyFont="1" applyFill="1" applyBorder="1" applyAlignment="1">
      <alignment vertical="center"/>
    </xf>
    <xf numFmtId="0" fontId="150" fillId="0" borderId="11" xfId="0" applyFont="1" applyFill="1" applyBorder="1" applyAlignment="1">
      <alignment horizontal="center" vertical="center"/>
    </xf>
    <xf numFmtId="0" fontId="150" fillId="0" borderId="10" xfId="0" applyNumberFormat="1" applyFont="1" applyFill="1" applyBorder="1" applyAlignment="1">
      <alignment horizontal="center" vertical="center" wrapText="1"/>
    </xf>
    <xf numFmtId="0" fontId="150" fillId="0" borderId="10" xfId="0" applyFont="1" applyFill="1" applyBorder="1" applyAlignment="1">
      <alignment horizontal="center" vertical="center" wrapText="1"/>
    </xf>
    <xf numFmtId="169" fontId="149" fillId="0" borderId="0" xfId="0" applyNumberFormat="1" applyFont="1" applyFill="1" applyBorder="1" applyAlignment="1">
      <alignment horizontal="left"/>
    </xf>
    <xf numFmtId="166" fontId="150" fillId="0" borderId="0" xfId="0" applyNumberFormat="1" applyFont="1" applyFill="1" applyBorder="1" applyAlignment="1">
      <alignment horizontal="center" vertical="center"/>
    </xf>
    <xf numFmtId="0" fontId="151" fillId="0" borderId="0" xfId="0" applyFont="1" applyFill="1"/>
    <xf numFmtId="166" fontId="150" fillId="0" borderId="0" xfId="0" quotePrefix="1" applyNumberFormat="1" applyFont="1" applyFill="1" applyBorder="1" applyAlignment="1"/>
    <xf numFmtId="166" fontId="149" fillId="0" borderId="0" xfId="0" applyNumberFormat="1" applyFont="1" applyFill="1" applyBorder="1" applyAlignment="1">
      <alignment vertical="center"/>
    </xf>
    <xf numFmtId="165" fontId="113" fillId="0" borderId="0" xfId="152" applyNumberFormat="1" applyFont="1" applyFill="1" applyAlignment="1">
      <alignment horizontal="left" vertical="top" indent="1"/>
    </xf>
    <xf numFmtId="0" fontId="132" fillId="0" borderId="0" xfId="0" applyFont="1" applyAlignment="1">
      <alignment horizontal="left" indent="1"/>
    </xf>
    <xf numFmtId="0" fontId="132" fillId="0" borderId="0" xfId="0" applyFont="1"/>
    <xf numFmtId="0" fontId="150" fillId="0" borderId="11" xfId="0" applyNumberFormat="1" applyFont="1" applyFill="1" applyBorder="1" applyAlignment="1">
      <alignment horizontal="center" vertical="center"/>
    </xf>
    <xf numFmtId="171" fontId="151" fillId="0" borderId="0" xfId="0" applyNumberFormat="1" applyFont="1" applyFill="1" applyAlignment="1">
      <alignment horizontal="left" vertical="center"/>
    </xf>
    <xf numFmtId="0" fontId="152" fillId="0" borderId="0" xfId="0" applyFont="1" applyFill="1" applyBorder="1" applyAlignment="1">
      <alignment horizontal="center" vertical="center"/>
    </xf>
    <xf numFmtId="0" fontId="118" fillId="0" borderId="0" xfId="0" applyFont="1" applyFill="1" applyBorder="1" applyAlignment="1">
      <alignment horizontal="left"/>
    </xf>
    <xf numFmtId="2" fontId="132" fillId="0" borderId="0" xfId="1" quotePrefix="1" applyNumberFormat="1" applyFont="1" applyFill="1" applyBorder="1" applyAlignment="1">
      <alignment vertical="top"/>
    </xf>
    <xf numFmtId="0" fontId="0" fillId="7" borderId="0" xfId="0" quotePrefix="1" applyFill="1"/>
    <xf numFmtId="0" fontId="0" fillId="7" borderId="0" xfId="0" applyFill="1"/>
    <xf numFmtId="166" fontId="0" fillId="7" borderId="0" xfId="1" applyNumberFormat="1" applyFont="1" applyFill="1"/>
    <xf numFmtId="166" fontId="132" fillId="0" borderId="3" xfId="1" applyNumberFormat="1" applyFont="1" applyFill="1" applyBorder="1" applyAlignment="1">
      <alignment horizontal="center"/>
    </xf>
    <xf numFmtId="166" fontId="132" fillId="0" borderId="3" xfId="1" quotePrefix="1" applyNumberFormat="1" applyFont="1" applyFill="1" applyBorder="1" applyAlignment="1">
      <alignment horizontal="center"/>
    </xf>
    <xf numFmtId="166" fontId="132" fillId="0" borderId="104" xfId="0" applyNumberFormat="1" applyFont="1" applyFill="1" applyBorder="1"/>
    <xf numFmtId="182" fontId="113" fillId="0" borderId="0" xfId="152" applyNumberFormat="1" applyFont="1" applyFill="1" applyAlignment="1">
      <alignment vertical="center"/>
    </xf>
    <xf numFmtId="166" fontId="0" fillId="0" borderId="0" xfId="1" applyNumberFormat="1" applyFont="1" applyFill="1"/>
    <xf numFmtId="0" fontId="0" fillId="0" borderId="0" xfId="0" applyFill="1"/>
    <xf numFmtId="0" fontId="0" fillId="0" borderId="0" xfId="0" quotePrefix="1" applyFill="1"/>
    <xf numFmtId="166" fontId="0" fillId="0" borderId="0" xfId="0" applyNumberFormat="1" applyFill="1"/>
    <xf numFmtId="43" fontId="0" fillId="0" borderId="0" xfId="1" applyFont="1" applyFill="1"/>
    <xf numFmtId="0" fontId="114" fillId="7" borderId="0" xfId="0" applyFont="1" applyFill="1"/>
    <xf numFmtId="0" fontId="32" fillId="0" borderId="0" xfId="0" applyFont="1" applyFill="1" applyAlignment="1">
      <alignment horizontal="justify" vertical="top"/>
    </xf>
    <xf numFmtId="166" fontId="32" fillId="0" borderId="0" xfId="1" applyNumberFormat="1" applyFont="1" applyFill="1"/>
    <xf numFmtId="182" fontId="132" fillId="0" borderId="104" xfId="0" applyNumberFormat="1" applyFont="1" applyFill="1" applyBorder="1" applyAlignment="1">
      <alignment vertical="center"/>
    </xf>
    <xf numFmtId="0" fontId="35" fillId="0" borderId="0" xfId="0" applyFont="1" applyFill="1" applyBorder="1" applyAlignment="1">
      <alignment horizontal="center"/>
    </xf>
    <xf numFmtId="0" fontId="114" fillId="0" borderId="0" xfId="0" applyFont="1" applyFill="1" applyAlignment="1">
      <alignment horizontal="center"/>
    </xf>
    <xf numFmtId="0" fontId="129" fillId="0" borderId="0" xfId="0" applyNumberFormat="1" applyFont="1" applyFill="1" applyAlignment="1">
      <alignment horizontal="center" vertical="top"/>
    </xf>
    <xf numFmtId="0" fontId="114" fillId="0" borderId="0" xfId="0" applyFont="1" applyFill="1" applyAlignment="1">
      <alignment horizontal="center" vertical="center"/>
    </xf>
    <xf numFmtId="0" fontId="35" fillId="0" borderId="0" xfId="0" applyNumberFormat="1" applyFont="1" applyFill="1" applyAlignment="1">
      <alignment horizontal="center" vertical="top"/>
    </xf>
    <xf numFmtId="0" fontId="114" fillId="0" borderId="0" xfId="0" applyFont="1" applyFill="1" applyAlignment="1">
      <alignment horizontal="left" vertical="top" wrapText="1"/>
    </xf>
    <xf numFmtId="0" fontId="114" fillId="0" borderId="0" xfId="0" applyFont="1" applyFill="1" applyAlignment="1">
      <alignment horizontal="left" vertical="top"/>
    </xf>
    <xf numFmtId="0" fontId="114" fillId="0" borderId="0" xfId="0" applyFont="1" applyFill="1" applyAlignment="1">
      <alignment horizontal="justify" vertical="top"/>
    </xf>
    <xf numFmtId="0" fontId="118" fillId="0" borderId="0" xfId="0" applyFont="1" applyFill="1"/>
    <xf numFmtId="0" fontId="114" fillId="0" borderId="0" xfId="0" quotePrefix="1" applyFont="1" applyFill="1" applyBorder="1" applyAlignment="1" applyProtection="1">
      <alignment horizontal="justify" vertical="top"/>
      <protection locked="0"/>
    </xf>
    <xf numFmtId="0" fontId="114" fillId="0" borderId="0" xfId="0" quotePrefix="1" applyFont="1" applyFill="1" applyBorder="1" applyAlignment="1" applyProtection="1">
      <alignment horizontal="left" vertical="top" wrapText="1"/>
      <protection locked="0"/>
    </xf>
    <xf numFmtId="0" fontId="35" fillId="0" borderId="0" xfId="0" applyFont="1" applyFill="1" applyAlignment="1">
      <alignment horizontal="center" vertical="top" wrapText="1"/>
    </xf>
    <xf numFmtId="0" fontId="114" fillId="0" borderId="0" xfId="0" quotePrefix="1" applyFont="1" applyFill="1" applyAlignment="1">
      <alignment horizontal="justify" vertical="top"/>
    </xf>
    <xf numFmtId="0" fontId="114" fillId="0" borderId="0" xfId="0" applyFont="1" applyFill="1" applyAlignment="1">
      <alignment horizontal="justify" vertical="top" wrapText="1"/>
    </xf>
    <xf numFmtId="0" fontId="114" fillId="0" borderId="0" xfId="0" quotePrefix="1" applyFont="1" applyFill="1" applyAlignment="1">
      <alignment horizontal="justify" vertical="top" wrapText="1"/>
    </xf>
    <xf numFmtId="0" fontId="35" fillId="0" borderId="0" xfId="0" applyFont="1" applyFill="1" applyAlignment="1">
      <alignment horizontal="center"/>
    </xf>
    <xf numFmtId="0" fontId="35" fillId="0" borderId="0" xfId="0" applyFont="1" applyFill="1" applyBorder="1" applyAlignment="1">
      <alignment horizontal="center" vertical="top"/>
    </xf>
    <xf numFmtId="0" fontId="35" fillId="0" borderId="0" xfId="0" quotePrefix="1" applyFont="1" applyFill="1" applyAlignment="1">
      <alignment horizontal="center" vertical="top"/>
    </xf>
    <xf numFmtId="0" fontId="114" fillId="0" borderId="0" xfId="0" applyFont="1" applyFill="1" applyBorder="1" applyAlignment="1">
      <alignment horizontal="left" vertical="top" wrapText="1"/>
    </xf>
    <xf numFmtId="0" fontId="114" fillId="0" borderId="0" xfId="0" applyFont="1" applyFill="1" applyAlignment="1" applyProtection="1">
      <alignment horizontal="justify" vertical="top"/>
    </xf>
    <xf numFmtId="2" fontId="32" fillId="0" borderId="0" xfId="0" applyNumberFormat="1" applyFont="1" applyFill="1" applyAlignment="1">
      <alignment horizontal="justify" vertical="top"/>
    </xf>
    <xf numFmtId="0" fontId="114" fillId="0" borderId="0" xfId="0" applyNumberFormat="1" applyFont="1" applyFill="1" applyBorder="1" applyAlignment="1" applyProtection="1">
      <alignment horizontal="justify" vertical="top"/>
    </xf>
    <xf numFmtId="0" fontId="32" fillId="0" borderId="0" xfId="0" applyFont="1" applyFill="1" applyAlignment="1">
      <alignment horizontal="justify" vertical="top" wrapText="1"/>
    </xf>
    <xf numFmtId="0" fontId="114" fillId="0" borderId="0" xfId="0" applyFont="1" applyFill="1" applyBorder="1" applyAlignment="1">
      <alignment horizontal="justify" vertical="top" wrapText="1"/>
    </xf>
    <xf numFmtId="0" fontId="139" fillId="0" borderId="10" xfId="0" applyNumberFormat="1" applyFont="1" applyFill="1" applyBorder="1" applyAlignment="1">
      <alignment horizontal="center" vertical="center" wrapText="1"/>
    </xf>
    <xf numFmtId="0" fontId="140" fillId="0" borderId="0" xfId="0" applyNumberFormat="1" applyFont="1" applyFill="1" applyBorder="1" applyAlignment="1">
      <alignment horizontal="center" vertical="center"/>
    </xf>
    <xf numFmtId="166" fontId="141" fillId="0" borderId="0" xfId="0" quotePrefix="1" applyNumberFormat="1" applyFont="1" applyFill="1" applyBorder="1" applyAlignment="1">
      <alignment horizontal="center"/>
    </xf>
    <xf numFmtId="166" fontId="141" fillId="0" borderId="0" xfId="0" applyNumberFormat="1" applyFont="1" applyFill="1" applyBorder="1" applyAlignment="1">
      <alignment horizontal="center"/>
    </xf>
    <xf numFmtId="166" fontId="131" fillId="0" borderId="102" xfId="0" applyNumberFormat="1" applyFont="1" applyFill="1" applyBorder="1" applyAlignment="1">
      <alignment horizontal="center" vertical="center"/>
    </xf>
    <xf numFmtId="166" fontId="152" fillId="0" borderId="102" xfId="0" applyNumberFormat="1" applyFont="1" applyFill="1" applyBorder="1" applyAlignment="1">
      <alignment horizontal="center" vertical="center"/>
    </xf>
    <xf numFmtId="0" fontId="35" fillId="0" borderId="0" xfId="0" quotePrefix="1" applyFont="1" applyFill="1" applyAlignment="1">
      <alignment horizontal="center" vertical="top" wrapText="1"/>
    </xf>
    <xf numFmtId="0" fontId="35" fillId="0" borderId="0" xfId="0" quotePrefix="1" applyFont="1" applyFill="1" applyBorder="1" applyAlignment="1">
      <alignment horizontal="center"/>
    </xf>
    <xf numFmtId="0" fontId="129" fillId="0" borderId="0" xfId="0" applyFont="1" applyFill="1" applyBorder="1" applyAlignment="1">
      <alignment horizontal="center"/>
    </xf>
    <xf numFmtId="0" fontId="114" fillId="0" borderId="0" xfId="0" applyFont="1" applyFill="1" applyAlignment="1">
      <alignment vertical="top" wrapText="1"/>
    </xf>
    <xf numFmtId="0" fontId="35" fillId="0" borderId="0" xfId="0" quotePrefix="1" applyFont="1" applyFill="1" applyAlignment="1">
      <alignment horizontal="left" vertical="top"/>
    </xf>
    <xf numFmtId="0" fontId="35" fillId="0" borderId="0" xfId="0" applyFont="1" applyFill="1" applyAlignment="1">
      <alignment vertical="top" wrapText="1"/>
    </xf>
    <xf numFmtId="37" fontId="114" fillId="0" borderId="0" xfId="0" quotePrefix="1" applyNumberFormat="1" applyFont="1" applyFill="1" applyBorder="1" applyAlignment="1">
      <alignment horizontal="center" vertical="top"/>
    </xf>
    <xf numFmtId="166" fontId="35" fillId="0" borderId="0" xfId="0" quotePrefix="1" applyNumberFormat="1" applyFont="1" applyFill="1" applyBorder="1" applyAlignment="1">
      <alignment horizontal="center" vertical="top"/>
    </xf>
    <xf numFmtId="166" fontId="114" fillId="0" borderId="0" xfId="0" applyNumberFormat="1" applyFont="1" applyFill="1" applyBorder="1" applyAlignment="1">
      <alignment horizontal="center" vertical="top"/>
    </xf>
    <xf numFmtId="0" fontId="114" fillId="0" borderId="0" xfId="0" applyFont="1" applyFill="1" applyBorder="1" applyAlignment="1" applyProtection="1">
      <alignment horizontal="left"/>
    </xf>
    <xf numFmtId="166" fontId="114" fillId="0" borderId="0" xfId="0" applyNumberFormat="1" applyFont="1" applyFill="1" applyBorder="1" applyAlignment="1">
      <alignment horizontal="center"/>
    </xf>
    <xf numFmtId="166" fontId="118" fillId="0" borderId="0" xfId="0" quotePrefix="1" applyNumberFormat="1" applyFont="1" applyFill="1" applyBorder="1" applyAlignment="1">
      <alignment horizontal="center" vertical="top"/>
    </xf>
    <xf numFmtId="37" fontId="114" fillId="0" borderId="0" xfId="0" applyNumberFormat="1" applyFont="1" applyFill="1" applyBorder="1" applyAlignment="1">
      <alignment vertical="top"/>
    </xf>
    <xf numFmtId="166" fontId="35" fillId="0" borderId="0" xfId="0" quotePrefix="1" applyNumberFormat="1" applyFont="1" applyFill="1" applyAlignment="1">
      <alignment horizontal="center" vertical="top"/>
    </xf>
    <xf numFmtId="166" fontId="114" fillId="0" borderId="0" xfId="0" applyNumberFormat="1" applyFont="1" applyFill="1" applyAlignment="1">
      <alignment horizontal="center" vertical="top"/>
    </xf>
    <xf numFmtId="166" fontId="114" fillId="0" borderId="0" xfId="0" quotePrefix="1" applyNumberFormat="1" applyFont="1" applyFill="1" applyAlignment="1">
      <alignment horizontal="center" vertical="top"/>
    </xf>
    <xf numFmtId="166" fontId="114" fillId="0" borderId="0" xfId="0" quotePrefix="1" applyNumberFormat="1" applyFont="1" applyFill="1" applyBorder="1" applyAlignment="1">
      <alignment horizontal="center" vertical="top"/>
    </xf>
    <xf numFmtId="0" fontId="114" fillId="0" borderId="0" xfId="0" applyNumberFormat="1" applyFont="1" applyFill="1" applyBorder="1" applyAlignment="1" applyProtection="1">
      <alignment vertical="top"/>
      <protection locked="0"/>
    </xf>
    <xf numFmtId="0" fontId="124" fillId="0" borderId="0" xfId="0" applyFont="1" applyFill="1" applyAlignment="1">
      <alignment vertical="top"/>
    </xf>
    <xf numFmtId="0" fontId="114" fillId="0" borderId="0" xfId="0" applyFont="1" applyFill="1" applyAlignment="1">
      <alignment horizontal="right" vertical="top"/>
    </xf>
    <xf numFmtId="0" fontId="114" fillId="0" borderId="0" xfId="0" applyFont="1" applyFill="1" applyAlignment="1">
      <alignment horizontal="center" vertical="top"/>
    </xf>
    <xf numFmtId="0" fontId="114" fillId="0" borderId="100" xfId="0" applyFont="1" applyFill="1" applyBorder="1" applyAlignment="1">
      <alignment vertical="top"/>
    </xf>
    <xf numFmtId="16" fontId="35" fillId="0" borderId="100" xfId="0" quotePrefix="1" applyNumberFormat="1" applyFont="1" applyFill="1" applyBorder="1" applyAlignment="1">
      <alignment horizontal="center" vertical="top"/>
    </xf>
    <xf numFmtId="16" fontId="114" fillId="0" borderId="100" xfId="0" quotePrefix="1" applyNumberFormat="1" applyFont="1" applyFill="1" applyBorder="1" applyAlignment="1">
      <alignment horizontal="center" vertical="top"/>
    </xf>
    <xf numFmtId="166" fontId="35" fillId="0" borderId="0" xfId="0" applyNumberFormat="1" applyFont="1" applyFill="1" applyBorder="1" applyAlignment="1">
      <alignment horizontal="center" vertical="top" wrapText="1"/>
    </xf>
    <xf numFmtId="166" fontId="114" fillId="0" borderId="0" xfId="0" applyNumberFormat="1" applyFont="1" applyFill="1" applyBorder="1" applyAlignment="1">
      <alignment horizontal="center" vertical="top" wrapText="1"/>
    </xf>
    <xf numFmtId="0" fontId="114" fillId="0" borderId="0" xfId="0" applyFont="1" applyFill="1" applyBorder="1" applyAlignment="1">
      <alignment horizontal="center" vertical="top"/>
    </xf>
    <xf numFmtId="16" fontId="35" fillId="0" borderId="0" xfId="0" quotePrefix="1" applyNumberFormat="1" applyFont="1" applyFill="1" applyBorder="1" applyAlignment="1">
      <alignment horizontal="center" vertical="top"/>
    </xf>
    <xf numFmtId="16" fontId="114" fillId="0" borderId="0" xfId="0" quotePrefix="1" applyNumberFormat="1" applyFont="1" applyFill="1" applyBorder="1" applyAlignment="1">
      <alignment horizontal="center" vertical="top"/>
    </xf>
    <xf numFmtId="0" fontId="114" fillId="0" borderId="0" xfId="0" applyNumberFormat="1" applyFont="1" applyFill="1" applyBorder="1" applyAlignment="1">
      <alignment vertical="top"/>
    </xf>
    <xf numFmtId="16" fontId="35" fillId="0" borderId="0" xfId="0" quotePrefix="1" applyNumberFormat="1" applyFont="1" applyFill="1" applyAlignment="1">
      <alignment horizontal="center" vertical="top" wrapText="1"/>
    </xf>
    <xf numFmtId="16" fontId="114" fillId="0" borderId="0" xfId="0" quotePrefix="1" applyNumberFormat="1" applyFont="1" applyFill="1" applyAlignment="1">
      <alignment horizontal="center" vertical="top" wrapText="1"/>
    </xf>
    <xf numFmtId="166" fontId="35" fillId="0" borderId="7" xfId="0" applyNumberFormat="1" applyFont="1" applyFill="1" applyBorder="1" applyAlignment="1">
      <alignment vertical="top"/>
    </xf>
    <xf numFmtId="166" fontId="114" fillId="0" borderId="7" xfId="0" applyNumberFormat="1" applyFont="1" applyFill="1" applyBorder="1" applyAlignment="1">
      <alignment vertical="top"/>
    </xf>
    <xf numFmtId="166" fontId="35" fillId="0" borderId="7" xfId="0" quotePrefix="1" applyNumberFormat="1" applyFont="1" applyFill="1" applyBorder="1" applyAlignment="1">
      <alignment horizontal="center" vertical="top"/>
    </xf>
    <xf numFmtId="166" fontId="114" fillId="0" borderId="7" xfId="0" quotePrefix="1" applyNumberFormat="1" applyFont="1" applyFill="1" applyBorder="1" applyAlignment="1">
      <alignment horizontal="center" vertical="top"/>
    </xf>
    <xf numFmtId="43" fontId="114" fillId="0" borderId="0" xfId="0" applyNumberFormat="1" applyFont="1" applyFill="1" applyAlignment="1">
      <alignment vertical="top"/>
    </xf>
    <xf numFmtId="41" fontId="114" fillId="0" borderId="0" xfId="0" applyNumberFormat="1" applyFont="1" applyFill="1" applyBorder="1" applyAlignment="1">
      <alignment vertical="top"/>
    </xf>
    <xf numFmtId="41" fontId="114" fillId="0" borderId="0" xfId="0" applyNumberFormat="1" applyFont="1" applyFill="1" applyBorder="1" applyAlignment="1">
      <alignment vertical="top" wrapText="1"/>
    </xf>
    <xf numFmtId="166" fontId="129" fillId="0" borderId="0" xfId="0" applyNumberFormat="1" applyFont="1" applyFill="1" applyAlignment="1">
      <alignment horizontal="center" vertical="top"/>
    </xf>
    <xf numFmtId="0" fontId="113" fillId="0" borderId="0" xfId="0" applyFont="1" applyFill="1" applyAlignment="1" applyProtection="1">
      <alignment vertical="top"/>
      <protection locked="0"/>
    </xf>
    <xf numFmtId="0" fontId="129" fillId="0" borderId="0" xfId="0" applyNumberFormat="1" applyFont="1" applyFill="1" applyAlignment="1">
      <alignment vertical="top"/>
    </xf>
    <xf numFmtId="166" fontId="113" fillId="0" borderId="0" xfId="0" applyNumberFormat="1" applyFont="1" applyFill="1" applyBorder="1" applyAlignment="1">
      <alignment horizontal="left" vertical="center"/>
    </xf>
    <xf numFmtId="0" fontId="113" fillId="0" borderId="0" xfId="0" applyNumberFormat="1" applyFont="1" applyFill="1" applyAlignment="1">
      <alignment horizontal="left" vertical="top"/>
    </xf>
    <xf numFmtId="0" fontId="113" fillId="0" borderId="0" xfId="0" applyFont="1" applyFill="1" applyAlignment="1">
      <alignment vertical="top" wrapText="1"/>
    </xf>
    <xf numFmtId="0" fontId="113" fillId="0" borderId="0" xfId="0" applyFont="1" applyFill="1" applyAlignment="1">
      <alignment horizontal="left" vertical="top" wrapText="1"/>
    </xf>
    <xf numFmtId="0" fontId="113" fillId="0" borderId="0" xfId="0" applyNumberFormat="1" applyFont="1" applyFill="1" applyAlignment="1">
      <alignment vertical="top"/>
    </xf>
    <xf numFmtId="166" fontId="113" fillId="0" borderId="5" xfId="0" applyNumberFormat="1" applyFont="1" applyFill="1" applyBorder="1" applyAlignment="1">
      <alignment horizontal="left" vertical="center"/>
    </xf>
    <xf numFmtId="0" fontId="113" fillId="0" borderId="0" xfId="0" applyNumberFormat="1" applyFont="1" applyFill="1" applyAlignment="1">
      <alignment vertical="center"/>
    </xf>
    <xf numFmtId="166" fontId="113" fillId="0" borderId="5" xfId="0" applyNumberFormat="1" applyFont="1" applyFill="1" applyBorder="1" applyAlignment="1">
      <alignment horizontal="left" vertical="center" wrapText="1"/>
    </xf>
    <xf numFmtId="166" fontId="113" fillId="0" borderId="0" xfId="0" applyNumberFormat="1" applyFont="1" applyFill="1" applyBorder="1" applyAlignment="1">
      <alignment horizontal="left" vertical="center" wrapText="1"/>
    </xf>
    <xf numFmtId="0" fontId="129" fillId="0" borderId="0" xfId="0" applyNumberFormat="1" applyFont="1" applyFill="1" applyAlignment="1"/>
    <xf numFmtId="166" fontId="113" fillId="0" borderId="100" xfId="0" applyNumberFormat="1" applyFont="1" applyFill="1" applyBorder="1" applyAlignment="1">
      <alignment horizontal="left" vertical="center"/>
    </xf>
    <xf numFmtId="166" fontId="113" fillId="0" borderId="0" xfId="0" applyNumberFormat="1" applyFont="1" applyFill="1" applyBorder="1" applyAlignment="1">
      <alignment vertical="center"/>
    </xf>
    <xf numFmtId="0" fontId="118" fillId="0" borderId="0" xfId="0" applyFont="1" applyFill="1" applyBorder="1" applyAlignment="1"/>
    <xf numFmtId="0" fontId="118" fillId="0" borderId="0" xfId="0" quotePrefix="1" applyFont="1" applyFill="1" applyAlignment="1">
      <alignment horizontal="left" vertical="center"/>
    </xf>
    <xf numFmtId="0" fontId="125" fillId="0" borderId="0" xfId="0" applyNumberFormat="1" applyFont="1" applyFill="1" applyAlignment="1">
      <alignment horizontal="left"/>
    </xf>
    <xf numFmtId="0" fontId="129" fillId="0" borderId="0" xfId="0" applyFont="1" applyFill="1" applyAlignment="1">
      <alignment horizontal="left" indent="1"/>
    </xf>
    <xf numFmtId="167" fontId="0" fillId="0" borderId="0" xfId="1" applyNumberFormat="1" applyFont="1" applyFill="1"/>
    <xf numFmtId="166" fontId="131" fillId="0" borderId="0" xfId="1" applyNumberFormat="1" applyFont="1" applyFill="1" applyAlignment="1">
      <alignment horizontal="center"/>
    </xf>
    <xf numFmtId="166" fontId="131" fillId="0" borderId="0" xfId="1" applyNumberFormat="1" applyFont="1" applyFill="1" applyBorder="1" applyAlignment="1">
      <alignment horizontal="center"/>
    </xf>
    <xf numFmtId="166" fontId="131" fillId="0" borderId="0" xfId="1" applyNumberFormat="1" applyFont="1" applyFill="1" applyBorder="1"/>
    <xf numFmtId="0" fontId="131" fillId="0" borderId="0" xfId="0" applyNumberFormat="1" applyFont="1" applyFill="1" applyAlignment="1">
      <alignment horizontal="center"/>
    </xf>
    <xf numFmtId="2" fontId="131" fillId="0" borderId="0" xfId="0" applyNumberFormat="1" applyFont="1" applyFill="1" applyAlignment="1">
      <alignment horizontal="center"/>
    </xf>
    <xf numFmtId="0" fontId="118" fillId="0" borderId="0" xfId="0" applyFont="1" applyFill="1" applyAlignment="1">
      <alignment horizontal="center"/>
    </xf>
    <xf numFmtId="165" fontId="118" fillId="0" borderId="0" xfId="0" applyNumberFormat="1" applyFont="1" applyFill="1"/>
    <xf numFmtId="166" fontId="35" fillId="0" borderId="0" xfId="145" applyNumberFormat="1" applyFont="1" applyFill="1"/>
    <xf numFmtId="166" fontId="35" fillId="0" borderId="3" xfId="1" applyNumberFormat="1" applyFont="1" applyFill="1" applyBorder="1" applyAlignment="1"/>
    <xf numFmtId="166" fontId="35" fillId="0" borderId="0" xfId="1" applyNumberFormat="1" applyFont="1" applyFill="1" applyAlignment="1"/>
    <xf numFmtId="166" fontId="35" fillId="0" borderId="104" xfId="1" applyNumberFormat="1" applyFont="1" applyFill="1" applyBorder="1" applyAlignment="1"/>
    <xf numFmtId="166" fontId="35" fillId="0" borderId="6" xfId="1" applyNumberFormat="1" applyFont="1" applyFill="1" applyBorder="1" applyAlignment="1"/>
    <xf numFmtId="166" fontId="35" fillId="0" borderId="8" xfId="0" applyNumberFormat="1" applyFont="1" applyFill="1" applyBorder="1"/>
    <xf numFmtId="166" fontId="35" fillId="0" borderId="2" xfId="0" applyNumberFormat="1" applyFont="1" applyFill="1" applyBorder="1"/>
    <xf numFmtId="166" fontId="35" fillId="0" borderId="3" xfId="0" applyNumberFormat="1" applyFont="1" applyFill="1" applyBorder="1"/>
    <xf numFmtId="166" fontId="35" fillId="0" borderId="4" xfId="0" applyNumberFormat="1" applyFont="1" applyFill="1" applyBorder="1" applyAlignment="1">
      <alignment vertical="top"/>
    </xf>
    <xf numFmtId="166" fontId="35" fillId="0" borderId="102" xfId="0" applyNumberFormat="1" applyFont="1" applyFill="1" applyBorder="1" applyAlignment="1">
      <alignment vertical="center"/>
    </xf>
    <xf numFmtId="166" fontId="35" fillId="0" borderId="5" xfId="0" applyNumberFormat="1" applyFont="1" applyFill="1" applyBorder="1" applyAlignment="1">
      <alignment vertical="center"/>
    </xf>
    <xf numFmtId="3" fontId="35" fillId="0" borderId="0" xfId="0" applyNumberFormat="1" applyFont="1" applyFill="1" applyAlignment="1">
      <alignment horizontal="right" vertical="center" wrapText="1"/>
    </xf>
    <xf numFmtId="37" fontId="114" fillId="0" borderId="0" xfId="0" applyNumberFormat="1" applyFont="1" applyFill="1" applyAlignment="1" applyProtection="1">
      <alignment horizontal="left" indent="1"/>
    </xf>
    <xf numFmtId="3" fontId="132" fillId="0" borderId="0" xfId="0" applyNumberFormat="1" applyFont="1" applyFill="1"/>
    <xf numFmtId="3" fontId="32" fillId="0" borderId="0" xfId="0" applyNumberFormat="1" applyFont="1" applyFill="1"/>
    <xf numFmtId="3" fontId="114" fillId="0" borderId="0" xfId="0" applyNumberFormat="1" applyFont="1" applyFill="1" applyAlignment="1">
      <alignment vertical="top"/>
    </xf>
    <xf numFmtId="168" fontId="35" fillId="7" borderId="0" xfId="0" applyNumberFormat="1" applyFont="1" applyFill="1" applyAlignment="1">
      <alignment horizontal="left"/>
    </xf>
    <xf numFmtId="0" fontId="35" fillId="7" borderId="0" xfId="0" applyFont="1" applyFill="1"/>
    <xf numFmtId="166" fontId="32" fillId="7" borderId="0" xfId="0" applyNumberFormat="1" applyFont="1" applyFill="1" applyAlignment="1"/>
    <xf numFmtId="0" fontId="32" fillId="7" borderId="0" xfId="0" applyFont="1" applyFill="1" applyAlignment="1"/>
    <xf numFmtId="166" fontId="32" fillId="7" borderId="0" xfId="0" applyNumberFormat="1" applyFont="1" applyFill="1" applyAlignment="1">
      <alignment horizontal="center"/>
    </xf>
    <xf numFmtId="0" fontId="35" fillId="7" borderId="0" xfId="0" applyFont="1" applyFill="1" applyAlignment="1">
      <alignment horizontal="center"/>
    </xf>
    <xf numFmtId="0" fontId="32" fillId="7" borderId="0" xfId="0" applyFont="1" applyFill="1" applyAlignment="1">
      <alignment horizontal="left"/>
    </xf>
    <xf numFmtId="0" fontId="35" fillId="7" borderId="0" xfId="0" applyFont="1" applyFill="1" applyAlignment="1" applyProtection="1">
      <alignment horizontal="center" vertical="center"/>
    </xf>
    <xf numFmtId="0" fontId="32" fillId="7" borderId="0" xfId="0" applyFont="1" applyFill="1" applyAlignment="1" applyProtection="1">
      <alignment horizontal="center" vertical="center"/>
    </xf>
    <xf numFmtId="0" fontId="114" fillId="7" borderId="0" xfId="0" applyFont="1" applyFill="1" applyAlignment="1">
      <alignment horizontal="left"/>
    </xf>
    <xf numFmtId="0" fontId="114" fillId="7" borderId="0" xfId="0" applyNumberFormat="1" applyFont="1" applyFill="1"/>
    <xf numFmtId="168" fontId="32" fillId="7" borderId="0" xfId="0" applyNumberFormat="1" applyFont="1" applyFill="1" applyAlignment="1">
      <alignment horizontal="center"/>
    </xf>
    <xf numFmtId="166" fontId="114" fillId="7" borderId="0" xfId="0" applyNumberFormat="1" applyFont="1" applyFill="1" applyAlignment="1"/>
    <xf numFmtId="166" fontId="35" fillId="7" borderId="0" xfId="0" applyNumberFormat="1" applyFont="1" applyFill="1" applyAlignment="1"/>
    <xf numFmtId="0" fontId="32" fillId="7" borderId="0" xfId="0" applyNumberFormat="1" applyFont="1" applyFill="1" applyAlignment="1">
      <alignment vertical="center"/>
    </xf>
    <xf numFmtId="166" fontId="114" fillId="7" borderId="0" xfId="0" applyNumberFormat="1" applyFont="1" applyFill="1" applyBorder="1" applyAlignment="1">
      <alignment vertical="center"/>
    </xf>
    <xf numFmtId="166" fontId="35" fillId="7" borderId="0" xfId="0" applyNumberFormat="1" applyFont="1" applyFill="1" applyBorder="1" applyAlignment="1">
      <alignment vertical="center"/>
    </xf>
    <xf numFmtId="166" fontId="32" fillId="7" borderId="0" xfId="0" applyNumberFormat="1" applyFont="1" applyFill="1" applyBorder="1" applyAlignment="1">
      <alignment vertical="center"/>
    </xf>
    <xf numFmtId="0" fontId="32" fillId="7" borderId="0" xfId="0" applyFont="1" applyFill="1" applyAlignment="1">
      <alignment horizontal="left" vertical="center"/>
    </xf>
    <xf numFmtId="0" fontId="32" fillId="7" borderId="0" xfId="0" applyNumberFormat="1" applyFont="1" applyFill="1" applyBorder="1" applyAlignment="1">
      <alignment vertical="center"/>
    </xf>
    <xf numFmtId="0" fontId="32" fillId="7" borderId="0" xfId="0" applyFont="1" applyFill="1" applyAlignment="1">
      <alignment vertical="center"/>
    </xf>
    <xf numFmtId="166" fontId="114" fillId="7" borderId="5" xfId="0" applyNumberFormat="1" applyFont="1" applyFill="1" applyBorder="1" applyAlignment="1">
      <alignment vertical="center"/>
    </xf>
    <xf numFmtId="165" fontId="32" fillId="7" borderId="0" xfId="0" applyNumberFormat="1" applyFont="1" applyFill="1" applyAlignment="1">
      <alignment vertical="center"/>
    </xf>
    <xf numFmtId="0" fontId="35" fillId="7" borderId="0" xfId="0" quotePrefix="1" applyFont="1" applyFill="1" applyAlignment="1">
      <alignment horizontal="center" vertical="top" wrapText="1"/>
    </xf>
    <xf numFmtId="0" fontId="35" fillId="7" borderId="0" xfId="0" applyFont="1" applyFill="1" applyAlignment="1">
      <alignment horizontal="center" vertical="top" wrapText="1"/>
    </xf>
    <xf numFmtId="0" fontId="35" fillId="7" borderId="0" xfId="0" applyFont="1" applyFill="1" applyAlignment="1">
      <alignment horizontal="center" vertical="top"/>
    </xf>
    <xf numFmtId="0" fontId="32" fillId="7" borderId="0" xfId="0" applyFont="1" applyFill="1" applyAlignment="1">
      <alignment horizontal="center"/>
    </xf>
    <xf numFmtId="166" fontId="114" fillId="7" borderId="0" xfId="0" applyNumberFormat="1" applyFont="1" applyFill="1" applyAlignment="1">
      <alignment vertical="center"/>
    </xf>
    <xf numFmtId="0" fontId="114" fillId="7" borderId="0" xfId="0" applyFont="1" applyFill="1" applyAlignment="1">
      <alignment vertical="center"/>
    </xf>
    <xf numFmtId="166" fontId="118" fillId="7" borderId="0" xfId="0" applyNumberFormat="1" applyFont="1" applyFill="1" applyBorder="1" applyAlignment="1">
      <alignment horizontal="center" vertical="center"/>
    </xf>
    <xf numFmtId="166" fontId="32" fillId="7" borderId="0" xfId="0" applyNumberFormat="1" applyFont="1" applyFill="1" applyBorder="1" applyAlignment="1">
      <alignment horizontal="center" vertical="center"/>
    </xf>
    <xf numFmtId="0" fontId="32" fillId="7" borderId="0" xfId="0" applyFont="1" applyFill="1" applyBorder="1"/>
    <xf numFmtId="0" fontId="32" fillId="7" borderId="0" xfId="0" applyFont="1" applyFill="1" applyBorder="1" applyAlignment="1">
      <alignment horizontal="left" vertical="top" wrapText="1"/>
    </xf>
    <xf numFmtId="168" fontId="118" fillId="7" borderId="0" xfId="0" applyNumberFormat="1" applyFont="1" applyFill="1" applyBorder="1"/>
    <xf numFmtId="0" fontId="35" fillId="7" borderId="0" xfId="0" applyFont="1" applyFill="1" applyAlignment="1">
      <alignment horizontal="center"/>
    </xf>
    <xf numFmtId="43" fontId="114" fillId="0" borderId="0" xfId="1" applyFont="1" applyFill="1"/>
    <xf numFmtId="166" fontId="114" fillId="0" borderId="0" xfId="1" applyNumberFormat="1" applyFont="1" applyFill="1" applyAlignment="1"/>
    <xf numFmtId="166" fontId="9" fillId="0" borderId="0" xfId="1" quotePrefix="1" applyNumberFormat="1" applyFont="1" applyFill="1" applyAlignment="1">
      <alignment wrapText="1"/>
    </xf>
    <xf numFmtId="166" fontId="114" fillId="0" borderId="0" xfId="1" quotePrefix="1" applyNumberFormat="1" applyFont="1" applyFill="1" applyAlignment="1"/>
    <xf numFmtId="166" fontId="0" fillId="4" borderId="0" xfId="1" applyNumberFormat="1" applyFont="1" applyFill="1"/>
    <xf numFmtId="166" fontId="0" fillId="4" borderId="0" xfId="0" applyNumberFormat="1" applyFill="1"/>
    <xf numFmtId="0" fontId="0" fillId="42" borderId="0" xfId="0" applyFill="1"/>
    <xf numFmtId="0" fontId="122" fillId="7" borderId="0" xfId="0" applyFont="1" applyFill="1"/>
    <xf numFmtId="0" fontId="0" fillId="43" borderId="0" xfId="0" quotePrefix="1" applyFill="1"/>
    <xf numFmtId="0" fontId="0" fillId="43" borderId="0" xfId="0" applyFill="1"/>
    <xf numFmtId="166" fontId="0" fillId="43" borderId="0" xfId="1" applyNumberFormat="1" applyFont="1" applyFill="1"/>
    <xf numFmtId="43" fontId="0" fillId="43" borderId="0" xfId="0" applyNumberFormat="1" applyFill="1"/>
    <xf numFmtId="3" fontId="0" fillId="43" borderId="0" xfId="0" applyNumberFormat="1" applyFill="1"/>
    <xf numFmtId="166" fontId="0" fillId="43" borderId="0" xfId="0" applyNumberFormat="1" applyFill="1"/>
    <xf numFmtId="0" fontId="0" fillId="44" borderId="0" xfId="0" applyFill="1"/>
    <xf numFmtId="166" fontId="0" fillId="44" borderId="0" xfId="1" applyNumberFormat="1" applyFont="1" applyFill="1"/>
    <xf numFmtId="166" fontId="0" fillId="44" borderId="0" xfId="0" applyNumberFormat="1" applyFill="1"/>
    <xf numFmtId="4" fontId="0" fillId="0" borderId="0" xfId="0" applyNumberFormat="1"/>
    <xf numFmtId="43" fontId="0" fillId="0" borderId="0" xfId="0" applyNumberFormat="1"/>
    <xf numFmtId="170" fontId="132" fillId="0" borderId="0" xfId="0" quotePrefix="1" applyNumberFormat="1" applyFont="1" applyFill="1" applyAlignment="1">
      <alignment horizontal="center" wrapText="1"/>
    </xf>
    <xf numFmtId="200" fontId="0" fillId="0" borderId="0" xfId="1" applyNumberFormat="1" applyFont="1"/>
    <xf numFmtId="201" fontId="0" fillId="0" borderId="0" xfId="1" applyNumberFormat="1" applyFont="1"/>
    <xf numFmtId="202" fontId="0" fillId="0" borderId="0" xfId="1" applyNumberFormat="1" applyFont="1"/>
    <xf numFmtId="201" fontId="0" fillId="0" borderId="0" xfId="1" applyNumberFormat="1" applyFont="1" applyFill="1"/>
    <xf numFmtId="166" fontId="35" fillId="0" borderId="104" xfId="0" applyNumberFormat="1" applyFont="1" applyFill="1" applyBorder="1"/>
    <xf numFmtId="166" fontId="35" fillId="0" borderId="4" xfId="0" applyNumberFormat="1" applyFont="1" applyFill="1" applyBorder="1"/>
    <xf numFmtId="166" fontId="132" fillId="0" borderId="7" xfId="1" applyNumberFormat="1" applyFont="1" applyFill="1" applyBorder="1" applyAlignment="1"/>
    <xf numFmtId="43" fontId="0" fillId="0" borderId="0" xfId="1" applyNumberFormat="1" applyFont="1" applyFill="1"/>
    <xf numFmtId="0" fontId="35" fillId="0" borderId="0" xfId="0" applyFont="1" applyFill="1" applyBorder="1" applyAlignment="1">
      <alignment horizontal="center"/>
    </xf>
    <xf numFmtId="0" fontId="114" fillId="0" borderId="0" xfId="0" applyFont="1" applyFill="1" applyAlignment="1">
      <alignment horizontal="center"/>
    </xf>
    <xf numFmtId="166" fontId="35" fillId="0" borderId="0" xfId="0" quotePrefix="1" applyNumberFormat="1" applyFont="1" applyFill="1" applyAlignment="1">
      <alignment horizontal="center"/>
    </xf>
    <xf numFmtId="166" fontId="35" fillId="0" borderId="0" xfId="0" applyNumberFormat="1" applyFont="1" applyFill="1" applyAlignment="1">
      <alignment horizontal="center"/>
    </xf>
    <xf numFmtId="0" fontId="114" fillId="0" borderId="0" xfId="0" applyFont="1" applyFill="1" applyAlignment="1"/>
    <xf numFmtId="166" fontId="132" fillId="0" borderId="0" xfId="0" applyNumberFormat="1" applyFont="1" applyFill="1" applyAlignment="1">
      <alignment horizontal="center"/>
    </xf>
    <xf numFmtId="0" fontId="131" fillId="0" borderId="0" xfId="0" applyFont="1" applyFill="1" applyAlignment="1">
      <alignment horizontal="center"/>
    </xf>
    <xf numFmtId="166" fontId="131" fillId="0" borderId="0" xfId="0" applyNumberFormat="1" applyFont="1" applyFill="1" applyAlignment="1">
      <alignment horizontal="center"/>
    </xf>
    <xf numFmtId="0" fontId="114" fillId="0" borderId="0" xfId="0" applyFont="1" applyFill="1" applyAlignment="1">
      <alignment horizontal="center" vertical="center"/>
    </xf>
    <xf numFmtId="165" fontId="117" fillId="0" borderId="0" xfId="0" quotePrefix="1" applyNumberFormat="1" applyFont="1" applyFill="1" applyAlignment="1">
      <alignment horizontal="center" vertical="center" wrapText="1"/>
    </xf>
    <xf numFmtId="0" fontId="114" fillId="0" borderId="0" xfId="0" applyFont="1" applyFill="1" applyAlignment="1">
      <alignment horizontal="left" vertical="top" wrapText="1"/>
    </xf>
    <xf numFmtId="0" fontId="114" fillId="0" borderId="0" xfId="0" applyFont="1" applyFill="1" applyAlignment="1">
      <alignment horizontal="left" vertical="top"/>
    </xf>
    <xf numFmtId="0" fontId="118" fillId="0" borderId="0" xfId="0" applyFont="1" applyFill="1"/>
    <xf numFmtId="0" fontId="114" fillId="0" borderId="0" xfId="0" applyFont="1" applyFill="1" applyAlignment="1">
      <alignment horizontal="justify" vertical="top" wrapText="1"/>
    </xf>
    <xf numFmtId="0" fontId="35" fillId="0" borderId="0" xfId="0" applyFont="1" applyFill="1" applyAlignment="1">
      <alignment horizontal="center"/>
    </xf>
    <xf numFmtId="0" fontId="153" fillId="0" borderId="0" xfId="0" applyFont="1"/>
    <xf numFmtId="166" fontId="114" fillId="0" borderId="5" xfId="0" applyNumberFormat="1" applyFont="1" applyFill="1" applyBorder="1" applyAlignment="1">
      <alignment horizontal="justify" vertical="top" wrapText="1"/>
    </xf>
    <xf numFmtId="166" fontId="113" fillId="0" borderId="0" xfId="1" applyNumberFormat="1" applyFont="1" applyFill="1" applyAlignment="1"/>
    <xf numFmtId="166" fontId="114" fillId="0" borderId="4" xfId="0" applyNumberFormat="1" applyFont="1" applyFill="1" applyBorder="1" applyAlignment="1"/>
    <xf numFmtId="166" fontId="35" fillId="0" borderId="4" xfId="1" applyNumberFormat="1" applyFont="1" applyFill="1" applyBorder="1" applyAlignment="1">
      <alignment vertical="top"/>
    </xf>
    <xf numFmtId="166" fontId="114" fillId="0" borderId="3" xfId="0" applyNumberFormat="1" applyFont="1" applyFill="1" applyBorder="1" applyAlignment="1">
      <alignment vertical="top"/>
    </xf>
    <xf numFmtId="166" fontId="35" fillId="0" borderId="0" xfId="1" applyNumberFormat="1" applyFont="1" applyFill="1" applyAlignment="1">
      <alignment vertical="center"/>
    </xf>
    <xf numFmtId="166" fontId="35" fillId="0" borderId="5" xfId="1" applyNumberFormat="1" applyFont="1" applyFill="1" applyBorder="1" applyAlignment="1">
      <alignment vertical="center"/>
    </xf>
    <xf numFmtId="166" fontId="35" fillId="0" borderId="7" xfId="1" applyNumberFormat="1" applyFont="1" applyFill="1" applyBorder="1" applyAlignment="1"/>
    <xf numFmtId="166" fontId="114" fillId="0" borderId="7" xfId="0" applyNumberFormat="1" applyFont="1" applyFill="1" applyBorder="1" applyAlignment="1"/>
    <xf numFmtId="166" fontId="35" fillId="0" borderId="7" xfId="0" applyNumberFormat="1" applyFont="1" applyFill="1" applyBorder="1"/>
    <xf numFmtId="166" fontId="114" fillId="0" borderId="7" xfId="0" applyNumberFormat="1" applyFont="1" applyFill="1" applyBorder="1"/>
    <xf numFmtId="167" fontId="35" fillId="0" borderId="7" xfId="0" applyNumberFormat="1" applyFont="1" applyFill="1" applyBorder="1"/>
    <xf numFmtId="167" fontId="114" fillId="0" borderId="7" xfId="0" applyNumberFormat="1" applyFont="1" applyFill="1" applyBorder="1"/>
    <xf numFmtId="41" fontId="132" fillId="0" borderId="0" xfId="104" applyNumberFormat="1" applyFont="1" applyFill="1" applyAlignment="1">
      <alignment horizontal="center"/>
    </xf>
    <xf numFmtId="166" fontId="131" fillId="0" borderId="102" xfId="1" applyNumberFormat="1" applyFont="1" applyFill="1" applyBorder="1" applyAlignment="1">
      <alignment horizontal="center"/>
    </xf>
    <xf numFmtId="166" fontId="132" fillId="0" borderId="102" xfId="0" applyNumberFormat="1" applyFont="1" applyFill="1" applyBorder="1" applyAlignment="1">
      <alignment horizontal="center"/>
    </xf>
    <xf numFmtId="166" fontId="132" fillId="0" borderId="104" xfId="1" quotePrefix="1" applyNumberFormat="1" applyFont="1" applyFill="1" applyBorder="1" applyAlignment="1">
      <alignment horizontal="center"/>
    </xf>
    <xf numFmtId="166" fontId="131" fillId="0" borderId="3" xfId="1" applyNumberFormat="1" applyFont="1" applyFill="1" applyBorder="1" applyAlignment="1">
      <alignment horizontal="right"/>
    </xf>
    <xf numFmtId="166" fontId="131" fillId="0" borderId="3" xfId="1" quotePrefix="1" applyNumberFormat="1" applyFont="1" applyFill="1" applyBorder="1" applyAlignment="1">
      <alignment horizontal="right"/>
    </xf>
    <xf numFmtId="166" fontId="132" fillId="0" borderId="3" xfId="1" applyNumberFormat="1" applyFont="1" applyFill="1" applyBorder="1"/>
    <xf numFmtId="166" fontId="131" fillId="0" borderId="4" xfId="1" applyNumberFormat="1" applyFont="1" applyFill="1" applyBorder="1" applyAlignment="1">
      <alignment horizontal="right"/>
    </xf>
    <xf numFmtId="166" fontId="132" fillId="0" borderId="4" xfId="1" applyNumberFormat="1" applyFont="1" applyFill="1" applyBorder="1" applyAlignment="1">
      <alignment horizontal="center"/>
    </xf>
    <xf numFmtId="166" fontId="131" fillId="0" borderId="0" xfId="1" applyNumberFormat="1" applyFont="1" applyFill="1" applyBorder="1" applyAlignment="1">
      <alignment vertical="center"/>
    </xf>
    <xf numFmtId="166" fontId="131" fillId="0" borderId="8" xfId="1" applyNumberFormat="1" applyFont="1" applyFill="1" applyBorder="1"/>
    <xf numFmtId="166" fontId="131" fillId="0" borderId="102" xfId="1" applyNumberFormat="1" applyFont="1" applyFill="1" applyBorder="1"/>
    <xf numFmtId="166" fontId="132" fillId="0" borderId="102" xfId="0" applyNumberFormat="1" applyFont="1" applyFill="1" applyBorder="1"/>
    <xf numFmtId="166" fontId="131" fillId="0" borderId="5" xfId="0" applyNumberFormat="1" applyFont="1" applyFill="1" applyBorder="1" applyAlignment="1">
      <alignment vertical="center"/>
    </xf>
    <xf numFmtId="41" fontId="131" fillId="0" borderId="0" xfId="0" applyNumberFormat="1" applyFont="1" applyFill="1" applyAlignment="1">
      <alignment horizontal="center"/>
    </xf>
    <xf numFmtId="166" fontId="132" fillId="0" borderId="0" xfId="1" applyNumberFormat="1" applyFont="1" applyFill="1" applyAlignment="1">
      <alignment horizontal="center"/>
    </xf>
    <xf numFmtId="166" fontId="132" fillId="0" borderId="5" xfId="0" applyNumberFormat="1" applyFont="1" applyFill="1" applyBorder="1"/>
    <xf numFmtId="41" fontId="132" fillId="0" borderId="4" xfId="0" applyNumberFormat="1" applyFont="1" applyFill="1" applyBorder="1" applyAlignment="1">
      <alignment horizontal="center"/>
    </xf>
    <xf numFmtId="41" fontId="32" fillId="0" borderId="0" xfId="0" applyNumberFormat="1" applyFont="1" applyFill="1" applyBorder="1"/>
    <xf numFmtId="166" fontId="114" fillId="0" borderId="104" xfId="0" applyNumberFormat="1" applyFont="1" applyFill="1" applyBorder="1"/>
    <xf numFmtId="166" fontId="114" fillId="0" borderId="4" xfId="0" applyNumberFormat="1" applyFont="1" applyFill="1" applyBorder="1"/>
    <xf numFmtId="166" fontId="114" fillId="0" borderId="7" xfId="0" applyNumberFormat="1" applyFont="1" applyFill="1" applyBorder="1" applyAlignment="1">
      <alignment vertical="center"/>
    </xf>
    <xf numFmtId="0" fontId="35" fillId="0" borderId="0" xfId="0" applyFont="1" applyFill="1" applyAlignment="1">
      <alignment horizontal="center"/>
    </xf>
    <xf numFmtId="0" fontId="35" fillId="0" borderId="0" xfId="0" applyFont="1" applyFill="1" applyAlignment="1">
      <alignment horizontal="center" vertical="top"/>
    </xf>
    <xf numFmtId="0" fontId="35" fillId="0" borderId="0" xfId="0" applyFont="1" applyFill="1" applyBorder="1" applyAlignment="1">
      <alignment horizontal="center" vertical="top"/>
    </xf>
    <xf numFmtId="0" fontId="35" fillId="0" borderId="0" xfId="0" quotePrefix="1" applyFont="1" applyFill="1" applyAlignment="1">
      <alignment horizontal="center"/>
    </xf>
    <xf numFmtId="0" fontId="35" fillId="0" borderId="0" xfId="0" quotePrefix="1" applyFont="1" applyFill="1" applyBorder="1" applyAlignment="1">
      <alignment horizontal="center"/>
    </xf>
    <xf numFmtId="0" fontId="114" fillId="0" borderId="0" xfId="0" applyNumberFormat="1" applyFont="1" applyFill="1" applyBorder="1" applyAlignment="1">
      <alignment horizontal="left" vertical="top"/>
    </xf>
    <xf numFmtId="0" fontId="114" fillId="0" borderId="0" xfId="0" applyNumberFormat="1" applyFont="1" applyFill="1" applyBorder="1" applyAlignment="1">
      <alignment horizontal="left" vertical="top" wrapText="1"/>
    </xf>
    <xf numFmtId="166" fontId="114" fillId="0" borderId="0" xfId="0" applyNumberFormat="1" applyFont="1" applyFill="1" applyBorder="1" applyAlignment="1">
      <alignment horizontal="left" vertical="top" wrapText="1"/>
    </xf>
    <xf numFmtId="166" fontId="35" fillId="0" borderId="5" xfId="0" applyNumberFormat="1" applyFont="1" applyFill="1" applyBorder="1" applyAlignment="1">
      <alignment horizontal="left" vertical="top" wrapText="1"/>
    </xf>
    <xf numFmtId="166" fontId="35" fillId="0" borderId="0" xfId="0" applyNumberFormat="1" applyFont="1" applyFill="1" applyBorder="1" applyAlignment="1">
      <alignment horizontal="left" vertical="top" wrapText="1"/>
    </xf>
    <xf numFmtId="0" fontId="35" fillId="0" borderId="0" xfId="0" applyFont="1" applyFill="1" applyBorder="1" applyAlignment="1">
      <alignment horizontal="center"/>
    </xf>
    <xf numFmtId="0" fontId="35" fillId="0" borderId="0" xfId="0" applyFont="1" applyFill="1" applyAlignment="1">
      <alignment horizontal="center" vertical="top" wrapText="1"/>
    </xf>
    <xf numFmtId="0" fontId="35" fillId="0" borderId="0" xfId="0" applyFont="1" applyFill="1" applyBorder="1" applyAlignment="1">
      <alignment horizontal="center" vertical="top"/>
    </xf>
    <xf numFmtId="0" fontId="35" fillId="0" borderId="0" xfId="0" applyFont="1" applyFill="1" applyAlignment="1">
      <alignment horizontal="center" vertical="top"/>
    </xf>
    <xf numFmtId="0" fontId="118" fillId="0" borderId="0" xfId="0" applyFont="1" applyFill="1"/>
    <xf numFmtId="0" fontId="114" fillId="0" borderId="0" xfId="0" applyFont="1" applyFill="1" applyBorder="1" applyAlignment="1">
      <alignment horizontal="center"/>
    </xf>
    <xf numFmtId="0" fontId="35" fillId="0" borderId="0" xfId="0" applyNumberFormat="1" applyFont="1" applyFill="1" applyAlignment="1">
      <alignment horizontal="center" vertical="center"/>
    </xf>
    <xf numFmtId="0" fontId="35" fillId="0" borderId="0" xfId="1" applyNumberFormat="1" applyFont="1" applyFill="1" applyAlignment="1">
      <alignment horizontal="center" vertical="top"/>
    </xf>
    <xf numFmtId="0" fontId="35" fillId="0" borderId="34" xfId="1" applyNumberFormat="1" applyFont="1" applyFill="1" applyBorder="1" applyAlignment="1">
      <alignment horizontal="center" vertical="top"/>
    </xf>
    <xf numFmtId="0" fontId="35" fillId="0" borderId="38" xfId="1" applyNumberFormat="1" applyFont="1" applyFill="1" applyBorder="1" applyAlignment="1">
      <alignment horizontal="center" vertical="top"/>
    </xf>
    <xf numFmtId="0" fontId="35" fillId="0" borderId="0" xfId="0" applyNumberFormat="1" applyFont="1" applyFill="1" applyBorder="1" applyAlignment="1">
      <alignment horizontal="center" vertical="top"/>
    </xf>
    <xf numFmtId="166" fontId="35" fillId="0" borderId="0" xfId="1" applyNumberFormat="1" applyFont="1" applyFill="1" applyAlignment="1">
      <alignment horizontal="center" vertical="top"/>
    </xf>
    <xf numFmtId="166" fontId="35" fillId="0" borderId="0" xfId="1" applyNumberFormat="1" applyFont="1" applyFill="1" applyBorder="1" applyAlignment="1">
      <alignment horizontal="center" vertical="top"/>
    </xf>
    <xf numFmtId="166" fontId="35" fillId="0" borderId="0" xfId="1" applyNumberFormat="1" applyFont="1" applyFill="1" applyBorder="1" applyAlignment="1">
      <alignment horizontal="center" vertical="center" wrapText="1"/>
    </xf>
    <xf numFmtId="166" fontId="35" fillId="0" borderId="0" xfId="1" applyNumberFormat="1" applyFont="1" applyFill="1" applyAlignment="1">
      <alignment horizontal="center" vertical="top" wrapText="1"/>
    </xf>
    <xf numFmtId="166" fontId="35" fillId="0" borderId="0" xfId="1" applyNumberFormat="1" applyFont="1" applyFill="1" applyBorder="1" applyAlignment="1">
      <alignment horizontal="center" vertical="top" wrapText="1"/>
    </xf>
    <xf numFmtId="0" fontId="35" fillId="0" borderId="0" xfId="0" applyFont="1" applyFill="1" applyBorder="1" applyAlignment="1">
      <alignment horizontal="center" vertical="top" wrapText="1"/>
    </xf>
    <xf numFmtId="182" fontId="35" fillId="0" borderId="0" xfId="1" applyNumberFormat="1" applyFont="1" applyFill="1" applyAlignment="1">
      <alignment vertical="top"/>
    </xf>
    <xf numFmtId="182" fontId="114" fillId="0" borderId="0" xfId="1" applyNumberFormat="1" applyFont="1" applyFill="1" applyAlignment="1">
      <alignment vertical="top"/>
    </xf>
    <xf numFmtId="182" fontId="114" fillId="0" borderId="0" xfId="1" applyNumberFormat="1" applyFont="1" applyFill="1" applyBorder="1" applyAlignment="1">
      <alignment vertical="top"/>
    </xf>
    <xf numFmtId="182" fontId="114" fillId="0" borderId="0" xfId="1" applyNumberFormat="1" applyFont="1" applyFill="1" applyBorder="1" applyAlignment="1"/>
    <xf numFmtId="182" fontId="114" fillId="0" borderId="0" xfId="0" applyNumberFormat="1" applyFont="1" applyFill="1" applyBorder="1" applyAlignment="1"/>
    <xf numFmtId="182" fontId="35" fillId="0" borderId="100" xfId="1" applyNumberFormat="1" applyFont="1" applyFill="1" applyBorder="1" applyAlignment="1">
      <alignment vertical="top"/>
    </xf>
    <xf numFmtId="182" fontId="114" fillId="0" borderId="100" xfId="1" applyNumberFormat="1" applyFont="1" applyFill="1" applyBorder="1" applyAlignment="1">
      <alignment vertical="top"/>
    </xf>
    <xf numFmtId="182" fontId="114" fillId="0" borderId="0" xfId="0" applyNumberFormat="1" applyFont="1" applyFill="1" applyBorder="1" applyAlignment="1">
      <alignment vertical="top"/>
    </xf>
    <xf numFmtId="166" fontId="114" fillId="0" borderId="0" xfId="1" applyNumberFormat="1" applyFont="1" applyFill="1" applyAlignment="1">
      <alignment vertical="top"/>
    </xf>
    <xf numFmtId="43" fontId="114" fillId="0" borderId="0" xfId="1" applyFont="1" applyFill="1" applyBorder="1" applyAlignment="1">
      <alignment vertical="top"/>
    </xf>
    <xf numFmtId="4" fontId="32" fillId="0" borderId="0" xfId="0" applyNumberFormat="1" applyFont="1" applyFill="1"/>
    <xf numFmtId="193" fontId="114" fillId="0" borderId="0" xfId="0" applyNumberFormat="1" applyFont="1" applyFill="1" applyAlignment="1">
      <alignment vertical="top"/>
    </xf>
    <xf numFmtId="0" fontId="114" fillId="0" borderId="0" xfId="0" quotePrefix="1" applyFont="1" applyFill="1" applyAlignment="1" applyProtection="1">
      <alignment horizontal="left" vertical="top" indent="1"/>
    </xf>
    <xf numFmtId="182" fontId="35" fillId="0" borderId="104" xfId="1" applyNumberFormat="1" applyFont="1" applyFill="1" applyBorder="1" applyAlignment="1">
      <alignment vertical="top"/>
    </xf>
    <xf numFmtId="182" fontId="114" fillId="0" borderId="104" xfId="1" applyNumberFormat="1" applyFont="1" applyFill="1" applyBorder="1" applyAlignment="1">
      <alignment vertical="top"/>
    </xf>
    <xf numFmtId="182" fontId="114" fillId="0" borderId="104" xfId="0" applyNumberFormat="1" applyFont="1" applyFill="1" applyBorder="1" applyAlignment="1">
      <alignment vertical="top"/>
    </xf>
    <xf numFmtId="182" fontId="114" fillId="0" borderId="104" xfId="1" applyNumberFormat="1" applyFont="1" applyFill="1" applyBorder="1" applyAlignment="1"/>
    <xf numFmtId="43" fontId="35" fillId="0" borderId="0" xfId="1" applyFont="1" applyFill="1" applyBorder="1"/>
    <xf numFmtId="0" fontId="114" fillId="0" borderId="0" xfId="0" applyFont="1" applyFill="1" applyAlignment="1">
      <alignment horizontal="left" vertical="top" indent="2"/>
    </xf>
    <xf numFmtId="182" fontId="35" fillId="0" borderId="3" xfId="1" applyNumberFormat="1" applyFont="1" applyFill="1" applyBorder="1" applyAlignment="1">
      <alignment vertical="top"/>
    </xf>
    <xf numFmtId="182" fontId="114" fillId="0" borderId="3" xfId="1" applyNumberFormat="1" applyFont="1" applyFill="1" applyBorder="1" applyAlignment="1">
      <alignment vertical="top"/>
    </xf>
    <xf numFmtId="181" fontId="114" fillId="0" borderId="0" xfId="1" applyNumberFormat="1" applyFont="1" applyFill="1" applyBorder="1"/>
    <xf numFmtId="43" fontId="114" fillId="0" borderId="0" xfId="1" applyFont="1" applyFill="1" applyBorder="1"/>
    <xf numFmtId="182" fontId="35" fillId="0" borderId="4" xfId="1" applyNumberFormat="1" applyFont="1" applyFill="1" applyBorder="1" applyAlignment="1">
      <alignment vertical="top"/>
    </xf>
    <xf numFmtId="182" fontId="114" fillId="0" borderId="4" xfId="1" applyNumberFormat="1" applyFont="1" applyFill="1" applyBorder="1" applyAlignment="1">
      <alignment vertical="top"/>
    </xf>
    <xf numFmtId="1" fontId="114" fillId="0" borderId="0" xfId="0" applyNumberFormat="1" applyFont="1" applyFill="1" applyAlignment="1">
      <alignment vertical="top"/>
    </xf>
    <xf numFmtId="182" fontId="35" fillId="0" borderId="0" xfId="1" applyNumberFormat="1" applyFont="1" applyFill="1" applyBorder="1" applyAlignment="1">
      <alignment vertical="top"/>
    </xf>
    <xf numFmtId="182" fontId="35" fillId="0" borderId="0" xfId="0" applyNumberFormat="1" applyFont="1" applyFill="1" applyBorder="1" applyAlignment="1" applyProtection="1">
      <alignment vertical="top"/>
      <protection locked="0"/>
    </xf>
    <xf numFmtId="182" fontId="114" fillId="0" borderId="0" xfId="0" applyNumberFormat="1" applyFont="1" applyFill="1" applyBorder="1" applyAlignment="1" applyProtection="1">
      <alignment vertical="top"/>
      <protection locked="0"/>
    </xf>
    <xf numFmtId="4" fontId="114" fillId="0" borderId="0" xfId="0" applyNumberFormat="1" applyFont="1" applyFill="1" applyAlignment="1">
      <alignment vertical="top"/>
    </xf>
    <xf numFmtId="0" fontId="114" fillId="0" borderId="0" xfId="0" quotePrefix="1" applyFont="1" applyFill="1" applyAlignment="1" applyProtection="1">
      <alignment horizontal="left" vertical="top" indent="2"/>
    </xf>
    <xf numFmtId="0" fontId="114" fillId="0" borderId="0" xfId="0" quotePrefix="1" applyFont="1" applyFill="1" applyAlignment="1">
      <alignment vertical="top"/>
    </xf>
    <xf numFmtId="182" fontId="114" fillId="0" borderId="2" xfId="1" applyNumberFormat="1" applyFont="1" applyFill="1" applyBorder="1" applyAlignment="1">
      <alignment vertical="top"/>
    </xf>
    <xf numFmtId="182" fontId="35" fillId="0" borderId="18" xfId="1" applyNumberFormat="1" applyFont="1" applyFill="1" applyBorder="1" applyAlignment="1">
      <alignment vertical="top"/>
    </xf>
    <xf numFmtId="182" fontId="35" fillId="0" borderId="0" xfId="0" applyNumberFormat="1" applyFont="1" applyFill="1" applyAlignment="1">
      <alignment vertical="top"/>
    </xf>
    <xf numFmtId="182" fontId="114" fillId="0" borderId="0" xfId="0" applyNumberFormat="1" applyFont="1" applyFill="1" applyAlignment="1">
      <alignment vertical="top"/>
    </xf>
    <xf numFmtId="0" fontId="114" fillId="0" borderId="0" xfId="0" applyFont="1" applyFill="1" applyAlignment="1" applyProtection="1">
      <alignment vertical="top"/>
      <protection locked="0"/>
    </xf>
    <xf numFmtId="182" fontId="154" fillId="0" borderId="0" xfId="1" applyNumberFormat="1" applyFont="1" applyFill="1" applyAlignment="1">
      <alignment vertical="top"/>
    </xf>
    <xf numFmtId="0" fontId="114" fillId="0" borderId="0" xfId="0" applyFont="1" applyFill="1" applyAlignment="1" applyProtection="1">
      <alignment horizontal="left" vertical="top" indent="1"/>
      <protection locked="0"/>
    </xf>
    <xf numFmtId="166" fontId="114" fillId="0" borderId="0" xfId="1" applyNumberFormat="1" applyFont="1" applyFill="1" applyBorder="1" applyAlignment="1">
      <alignment vertical="top"/>
    </xf>
    <xf numFmtId="182" fontId="35" fillId="0" borderId="2" xfId="1" applyNumberFormat="1" applyFont="1" applyFill="1" applyBorder="1" applyAlignment="1">
      <alignment vertical="top"/>
    </xf>
    <xf numFmtId="182" fontId="114" fillId="0" borderId="105" xfId="0" applyNumberFormat="1" applyFont="1" applyFill="1" applyBorder="1" applyAlignment="1">
      <alignment vertical="top"/>
    </xf>
    <xf numFmtId="43" fontId="114" fillId="0" borderId="0" xfId="0" applyNumberFormat="1" applyFont="1" applyFill="1" applyBorder="1" applyAlignment="1">
      <alignment vertical="top"/>
    </xf>
    <xf numFmtId="182" fontId="114" fillId="0" borderId="19" xfId="0" applyNumberFormat="1" applyFont="1" applyFill="1" applyBorder="1" applyAlignment="1">
      <alignment vertical="top"/>
    </xf>
    <xf numFmtId="182" fontId="35" fillId="0" borderId="0" xfId="0" applyNumberFormat="1" applyFont="1" applyFill="1" applyBorder="1" applyAlignment="1">
      <alignment vertical="top"/>
    </xf>
    <xf numFmtId="182" fontId="35" fillId="0" borderId="5" xfId="1" applyNumberFormat="1" applyFont="1" applyFill="1" applyBorder="1" applyAlignment="1">
      <alignment vertical="center"/>
    </xf>
    <xf numFmtId="182" fontId="114" fillId="0" borderId="0" xfId="1" applyNumberFormat="1" applyFont="1" applyFill="1" applyBorder="1" applyAlignment="1">
      <alignment vertical="center"/>
    </xf>
    <xf numFmtId="182" fontId="114" fillId="0" borderId="5" xfId="1" applyNumberFormat="1" applyFont="1" applyFill="1" applyBorder="1" applyAlignment="1">
      <alignment vertical="center"/>
    </xf>
    <xf numFmtId="3" fontId="114" fillId="0" borderId="0" xfId="0" applyNumberFormat="1" applyFont="1" applyFill="1" applyBorder="1" applyAlignment="1">
      <alignment vertical="top"/>
    </xf>
    <xf numFmtId="182" fontId="35" fillId="0" borderId="9" xfId="1" applyNumberFormat="1" applyFont="1" applyFill="1" applyBorder="1" applyAlignment="1">
      <alignment vertical="top"/>
    </xf>
    <xf numFmtId="182" fontId="35" fillId="0" borderId="4" xfId="1" applyNumberFormat="1" applyFont="1" applyFill="1" applyBorder="1" applyAlignment="1">
      <alignment vertical="center"/>
    </xf>
    <xf numFmtId="182" fontId="35" fillId="0" borderId="0" xfId="1" applyNumberFormat="1" applyFont="1" applyFill="1" applyBorder="1" applyAlignment="1">
      <alignment vertical="center"/>
    </xf>
    <xf numFmtId="0" fontId="114" fillId="0" borderId="0" xfId="0" applyFont="1" applyFill="1" applyAlignment="1" applyProtection="1">
      <alignment vertical="top"/>
    </xf>
    <xf numFmtId="0" fontId="155" fillId="0" borderId="0" xfId="0" applyFont="1" applyFill="1" applyAlignment="1" applyProtection="1">
      <alignment horizontal="left" vertical="top" indent="1"/>
    </xf>
    <xf numFmtId="0" fontId="114" fillId="0" borderId="0" xfId="0" applyFont="1" applyFill="1" applyAlignment="1" applyProtection="1">
      <alignment horizontal="left" vertical="top" indent="1"/>
    </xf>
    <xf numFmtId="0" fontId="114" fillId="0" borderId="0" xfId="0" applyFont="1" applyFill="1" applyAlignment="1" applyProtection="1">
      <alignment horizontal="left" vertical="top" indent="2"/>
    </xf>
    <xf numFmtId="182" fontId="35" fillId="0" borderId="0" xfId="1" applyNumberFormat="1" applyFont="1" applyFill="1" applyAlignment="1">
      <alignment vertical="center"/>
    </xf>
    <xf numFmtId="182" fontId="114" fillId="0" borderId="0" xfId="0" applyNumberFormat="1" applyFont="1" applyFill="1" applyAlignment="1">
      <alignment vertical="center"/>
    </xf>
    <xf numFmtId="182" fontId="114" fillId="0" borderId="0" xfId="0" applyNumberFormat="1" applyFont="1" applyFill="1" applyBorder="1" applyAlignment="1">
      <alignment vertical="center"/>
    </xf>
    <xf numFmtId="166" fontId="35" fillId="0" borderId="0" xfId="1" applyNumberFormat="1" applyFont="1" applyFill="1" applyBorder="1" applyAlignment="1">
      <alignment vertical="top"/>
    </xf>
    <xf numFmtId="166" fontId="35" fillId="0" borderId="0" xfId="1" applyNumberFormat="1" applyFont="1" applyFill="1" applyAlignment="1">
      <alignment vertical="top"/>
    </xf>
    <xf numFmtId="183" fontId="35" fillId="0" borderId="0" xfId="1" applyNumberFormat="1" applyFont="1" applyFill="1" applyBorder="1" applyAlignment="1">
      <alignment vertical="top"/>
    </xf>
    <xf numFmtId="181" fontId="35" fillId="0" borderId="7" xfId="1" applyNumberFormat="1" applyFont="1" applyFill="1" applyBorder="1" applyAlignment="1">
      <alignment horizontal="center" vertical="top"/>
    </xf>
    <xf numFmtId="183" fontId="114" fillId="0" borderId="0" xfId="1" applyNumberFormat="1" applyFont="1" applyFill="1" applyBorder="1" applyAlignment="1">
      <alignment vertical="top"/>
    </xf>
    <xf numFmtId="181" fontId="114" fillId="0" borderId="7" xfId="1" applyNumberFormat="1" applyFont="1" applyFill="1" applyBorder="1" applyAlignment="1">
      <alignment horizontal="center" vertical="top"/>
    </xf>
    <xf numFmtId="166" fontId="114" fillId="0" borderId="0" xfId="1" applyNumberFormat="1" applyFont="1" applyFill="1" applyBorder="1" applyAlignment="1">
      <alignment horizontal="center" vertical="top"/>
    </xf>
    <xf numFmtId="43" fontId="35" fillId="0" borderId="0" xfId="1" applyNumberFormat="1" applyFont="1" applyFill="1" applyBorder="1" applyAlignment="1">
      <alignment vertical="top"/>
    </xf>
    <xf numFmtId="0" fontId="0" fillId="0" borderId="0" xfId="0" quotePrefix="1" applyNumberFormat="1"/>
    <xf numFmtId="0" fontId="0" fillId="0" borderId="0" xfId="0" applyFill="1" applyAlignment="1">
      <alignment horizontal="center"/>
    </xf>
    <xf numFmtId="0" fontId="0" fillId="0" borderId="0" xfId="0" applyProtection="1">
      <protection locked="0"/>
    </xf>
    <xf numFmtId="3" fontId="114" fillId="0" borderId="0" xfId="0" applyNumberFormat="1" applyFont="1" applyFill="1" applyBorder="1"/>
    <xf numFmtId="3" fontId="0" fillId="44" borderId="0" xfId="0" applyNumberFormat="1" applyFill="1"/>
    <xf numFmtId="3" fontId="0" fillId="0" borderId="0" xfId="0" applyNumberFormat="1" applyFill="1"/>
    <xf numFmtId="0" fontId="140" fillId="0" borderId="0" xfId="0" applyNumberFormat="1" applyFont="1" applyFill="1" applyBorder="1" applyAlignment="1">
      <alignment horizontal="center" vertical="center"/>
    </xf>
    <xf numFmtId="170" fontId="132" fillId="0" borderId="0" xfId="0" quotePrefix="1" applyNumberFormat="1" applyFont="1" applyFill="1" applyAlignment="1">
      <alignment horizontal="center" vertical="center" wrapText="1"/>
    </xf>
    <xf numFmtId="0" fontId="156" fillId="0" borderId="0" xfId="157" applyFont="1"/>
    <xf numFmtId="0" fontId="157" fillId="0" borderId="0" xfId="157" applyFont="1"/>
    <xf numFmtId="166" fontId="156" fillId="0" borderId="0" xfId="158" applyNumberFormat="1" applyFont="1"/>
    <xf numFmtId="43" fontId="156" fillId="0" borderId="0" xfId="158" applyFont="1"/>
    <xf numFmtId="0" fontId="156" fillId="0" borderId="0" xfId="157" applyFont="1" applyFill="1"/>
    <xf numFmtId="15" fontId="157" fillId="0" borderId="0" xfId="157" applyNumberFormat="1" applyFont="1"/>
    <xf numFmtId="0" fontId="156" fillId="45" borderId="0" xfId="157" applyFont="1" applyFill="1"/>
    <xf numFmtId="177" fontId="161" fillId="0" borderId="0" xfId="159" applyNumberFormat="1" applyFont="1" applyAlignment="1">
      <alignment wrapText="1"/>
    </xf>
    <xf numFmtId="203" fontId="160" fillId="47" borderId="117" xfId="159" applyNumberFormat="1" applyFont="1" applyFill="1" applyBorder="1" applyAlignment="1">
      <alignment horizontal="center" vertical="center" wrapText="1"/>
    </xf>
    <xf numFmtId="0" fontId="156" fillId="7" borderId="118" xfId="157" applyFont="1" applyFill="1" applyBorder="1"/>
    <xf numFmtId="15" fontId="156" fillId="2" borderId="118" xfId="157" applyNumberFormat="1" applyFont="1" applyFill="1" applyBorder="1"/>
    <xf numFmtId="0" fontId="156" fillId="2" borderId="118" xfId="157" applyFont="1" applyFill="1" applyBorder="1"/>
    <xf numFmtId="166" fontId="156" fillId="2" borderId="118" xfId="158" applyNumberFormat="1" applyFont="1" applyFill="1" applyBorder="1"/>
    <xf numFmtId="166" fontId="161" fillId="2" borderId="118" xfId="158" applyNumberFormat="1" applyFont="1" applyFill="1" applyBorder="1"/>
    <xf numFmtId="167" fontId="156" fillId="2" borderId="118" xfId="158" applyNumberFormat="1" applyFont="1" applyFill="1" applyBorder="1"/>
    <xf numFmtId="167" fontId="162" fillId="2" borderId="118" xfId="158" applyNumberFormat="1" applyFont="1" applyFill="1" applyBorder="1"/>
    <xf numFmtId="204" fontId="161" fillId="2" borderId="118" xfId="159" applyNumberFormat="1" applyFont="1" applyFill="1" applyBorder="1"/>
    <xf numFmtId="204" fontId="163" fillId="2" borderId="118" xfId="159" applyNumberFormat="1" applyFont="1" applyFill="1" applyBorder="1"/>
    <xf numFmtId="205" fontId="161" fillId="2" borderId="118" xfId="159" applyNumberFormat="1" applyFont="1" applyFill="1" applyBorder="1"/>
    <xf numFmtId="167" fontId="161" fillId="2" borderId="118" xfId="158" applyNumberFormat="1" applyFont="1" applyFill="1" applyBorder="1"/>
    <xf numFmtId="206" fontId="161" fillId="2" borderId="118" xfId="159" applyNumberFormat="1" applyFont="1" applyFill="1" applyBorder="1"/>
    <xf numFmtId="0" fontId="157" fillId="2" borderId="0" xfId="157" applyFont="1" applyFill="1" applyAlignment="1">
      <alignment horizontal="center"/>
    </xf>
    <xf numFmtId="204" fontId="161" fillId="2" borderId="118" xfId="160" applyNumberFormat="1" applyFont="1" applyFill="1" applyBorder="1" applyAlignment="1">
      <alignment horizontal="center"/>
    </xf>
    <xf numFmtId="177" fontId="161" fillId="0" borderId="0" xfId="157" applyNumberFormat="1" applyFont="1" applyFill="1" applyAlignment="1">
      <alignment vertical="center"/>
    </xf>
    <xf numFmtId="43" fontId="156" fillId="0" borderId="0" xfId="157" applyNumberFormat="1" applyFont="1" applyFill="1"/>
    <xf numFmtId="208" fontId="156" fillId="0" borderId="0" xfId="157" applyNumberFormat="1" applyFont="1" applyFill="1"/>
    <xf numFmtId="43" fontId="156" fillId="0" borderId="0" xfId="158" applyNumberFormat="1" applyFont="1" applyFill="1"/>
    <xf numFmtId="15" fontId="156" fillId="7" borderId="118" xfId="157" applyNumberFormat="1" applyFont="1" applyFill="1" applyBorder="1"/>
    <xf numFmtId="166" fontId="156" fillId="7" borderId="118" xfId="158" applyNumberFormat="1" applyFont="1" applyFill="1" applyBorder="1"/>
    <xf numFmtId="166" fontId="161" fillId="7" borderId="118" xfId="158" applyNumberFormat="1" applyFont="1" applyFill="1" applyBorder="1"/>
    <xf numFmtId="167" fontId="156" fillId="7" borderId="118" xfId="158" applyNumberFormat="1" applyFont="1" applyFill="1" applyBorder="1"/>
    <xf numFmtId="204" fontId="161" fillId="7" borderId="118" xfId="159" applyNumberFormat="1" applyFont="1" applyFill="1" applyBorder="1"/>
    <xf numFmtId="204" fontId="163" fillId="7" borderId="118" xfId="159" applyNumberFormat="1" applyFont="1" applyFill="1" applyBorder="1"/>
    <xf numFmtId="205" fontId="161" fillId="7" borderId="118" xfId="159" applyNumberFormat="1" applyFont="1" applyFill="1" applyBorder="1"/>
    <xf numFmtId="166" fontId="163" fillId="7" borderId="118" xfId="158" applyNumberFormat="1" applyFont="1" applyFill="1" applyBorder="1"/>
    <xf numFmtId="167" fontId="161" fillId="7" borderId="118" xfId="158" applyNumberFormat="1" applyFont="1" applyFill="1" applyBorder="1"/>
    <xf numFmtId="206" fontId="161" fillId="7" borderId="118" xfId="159" applyNumberFormat="1" applyFont="1" applyFill="1" applyBorder="1"/>
    <xf numFmtId="0" fontId="157" fillId="7" borderId="0" xfId="157" applyFont="1" applyFill="1" applyAlignment="1">
      <alignment horizontal="center"/>
    </xf>
    <xf numFmtId="204" fontId="161" fillId="7" borderId="118" xfId="160" applyNumberFormat="1" applyFont="1" applyFill="1" applyBorder="1" applyAlignment="1">
      <alignment horizontal="center"/>
    </xf>
    <xf numFmtId="177" fontId="161" fillId="7" borderId="0" xfId="157" applyNumberFormat="1" applyFont="1" applyFill="1" applyAlignment="1">
      <alignment vertical="center"/>
    </xf>
    <xf numFmtId="0" fontId="156" fillId="7" borderId="0" xfId="157" applyFont="1" applyFill="1"/>
    <xf numFmtId="43" fontId="156" fillId="7" borderId="0" xfId="157" applyNumberFormat="1" applyFont="1" applyFill="1"/>
    <xf numFmtId="208" fontId="156" fillId="7" borderId="0" xfId="157" applyNumberFormat="1" applyFont="1" applyFill="1"/>
    <xf numFmtId="43" fontId="156" fillId="7" borderId="0" xfId="158" applyNumberFormat="1" applyFont="1" applyFill="1"/>
    <xf numFmtId="0" fontId="156" fillId="0" borderId="118" xfId="157" applyFont="1" applyFill="1" applyBorder="1"/>
    <xf numFmtId="0" fontId="163" fillId="2" borderId="118" xfId="157" applyFont="1" applyFill="1" applyBorder="1"/>
    <xf numFmtId="166" fontId="163" fillId="2" borderId="118" xfId="158" applyNumberFormat="1" applyFont="1" applyFill="1" applyBorder="1"/>
    <xf numFmtId="15" fontId="156" fillId="0" borderId="118" xfId="157" applyNumberFormat="1" applyFont="1" applyFill="1" applyBorder="1"/>
    <xf numFmtId="166" fontId="156" fillId="0" borderId="118" xfId="158" applyNumberFormat="1" applyFont="1" applyFill="1" applyBorder="1"/>
    <xf numFmtId="166" fontId="163" fillId="0" borderId="118" xfId="158" applyNumberFormat="1" applyFont="1" applyFill="1" applyBorder="1"/>
    <xf numFmtId="166" fontId="161" fillId="0" borderId="118" xfId="158" applyNumberFormat="1" applyFont="1" applyFill="1" applyBorder="1"/>
    <xf numFmtId="167" fontId="156" fillId="0" borderId="118" xfId="158" applyNumberFormat="1" applyFont="1" applyFill="1" applyBorder="1"/>
    <xf numFmtId="204" fontId="163" fillId="0" borderId="118" xfId="159" applyNumberFormat="1" applyFont="1" applyFill="1" applyBorder="1"/>
    <xf numFmtId="205" fontId="161" fillId="0" borderId="118" xfId="159" applyNumberFormat="1" applyFont="1" applyFill="1" applyBorder="1"/>
    <xf numFmtId="204" fontId="161" fillId="0" borderId="118" xfId="159" applyNumberFormat="1" applyFont="1" applyFill="1" applyBorder="1"/>
    <xf numFmtId="167" fontId="161" fillId="0" borderId="118" xfId="158" applyNumberFormat="1" applyFont="1" applyFill="1" applyBorder="1"/>
    <xf numFmtId="206" fontId="161" fillId="0" borderId="118" xfId="159" applyNumberFormat="1" applyFont="1" applyFill="1" applyBorder="1"/>
    <xf numFmtId="0" fontId="157" fillId="0" borderId="0" xfId="157" applyFont="1" applyFill="1" applyAlignment="1">
      <alignment horizontal="center"/>
    </xf>
    <xf numFmtId="204" fontId="161" fillId="0" borderId="118" xfId="160" applyNumberFormat="1" applyFont="1" applyFill="1" applyBorder="1" applyAlignment="1">
      <alignment horizontal="center"/>
    </xf>
    <xf numFmtId="205" fontId="161" fillId="0" borderId="0" xfId="159" applyNumberFormat="1" applyFont="1" applyFill="1" applyBorder="1"/>
    <xf numFmtId="206" fontId="161" fillId="0" borderId="118" xfId="160" applyNumberFormat="1" applyFont="1" applyFill="1" applyBorder="1" applyAlignment="1" applyProtection="1">
      <alignment horizontal="right" vertical="center"/>
    </xf>
    <xf numFmtId="0" fontId="164" fillId="48" borderId="113" xfId="157" applyFont="1" applyFill="1" applyBorder="1"/>
    <xf numFmtId="166" fontId="165" fillId="48" borderId="113" xfId="157" applyNumberFormat="1" applyFont="1" applyFill="1" applyBorder="1"/>
    <xf numFmtId="166" fontId="166" fillId="49" borderId="113" xfId="157" applyNumberFormat="1" applyFont="1" applyFill="1" applyBorder="1"/>
    <xf numFmtId="166" fontId="167" fillId="48" borderId="113" xfId="157" applyNumberFormat="1" applyFont="1" applyFill="1" applyBorder="1"/>
    <xf numFmtId="204" fontId="164" fillId="48" borderId="113" xfId="157" applyNumberFormat="1" applyFont="1" applyFill="1" applyBorder="1"/>
    <xf numFmtId="0" fontId="168" fillId="0" borderId="0" xfId="157" applyFont="1"/>
    <xf numFmtId="4" fontId="156" fillId="0" borderId="0" xfId="157" applyNumberFormat="1" applyFont="1"/>
    <xf numFmtId="209" fontId="156" fillId="0" borderId="0" xfId="157" applyNumberFormat="1" applyFont="1"/>
    <xf numFmtId="204" fontId="169" fillId="0" borderId="0" xfId="157" applyNumberFormat="1" applyFont="1" applyAlignment="1">
      <alignment horizontal="left" vertical="center"/>
    </xf>
    <xf numFmtId="177" fontId="6" fillId="0" borderId="0" xfId="159" applyNumberFormat="1" applyFont="1"/>
    <xf numFmtId="43" fontId="170" fillId="0" borderId="0" xfId="161" applyFont="1" applyAlignment="1">
      <alignment vertical="center"/>
    </xf>
    <xf numFmtId="43" fontId="171" fillId="0" borderId="118" xfId="157" applyNumberFormat="1" applyFont="1" applyFill="1" applyBorder="1"/>
    <xf numFmtId="43" fontId="156" fillId="0" borderId="0" xfId="157" applyNumberFormat="1" applyFont="1"/>
    <xf numFmtId="166" fontId="6" fillId="0" borderId="0" xfId="161" applyNumberFormat="1" applyFont="1" applyFill="1" applyBorder="1" applyAlignment="1" applyProtection="1">
      <alignment horizontal="center"/>
    </xf>
    <xf numFmtId="204" fontId="172" fillId="0" borderId="0" xfId="159" applyNumberFormat="1" applyFont="1" applyBorder="1" applyAlignment="1">
      <alignment horizontal="left"/>
    </xf>
    <xf numFmtId="167" fontId="6" fillId="0" borderId="0" xfId="161" applyNumberFormat="1" applyFont="1" applyFill="1" applyBorder="1" applyAlignment="1" applyProtection="1">
      <alignment horizontal="center"/>
    </xf>
    <xf numFmtId="166" fontId="156" fillId="0" borderId="0" xfId="157" applyNumberFormat="1" applyFont="1"/>
    <xf numFmtId="43" fontId="170" fillId="0" borderId="0" xfId="158" applyFont="1" applyAlignment="1">
      <alignment vertical="center"/>
    </xf>
    <xf numFmtId="177" fontId="170" fillId="0" borderId="0" xfId="157" applyNumberFormat="1" applyFont="1" applyAlignment="1">
      <alignment vertical="center"/>
    </xf>
    <xf numFmtId="204" fontId="38" fillId="2" borderId="0" xfId="159" applyNumberFormat="1" applyFont="1" applyFill="1" applyBorder="1" applyAlignment="1">
      <alignment horizontal="left"/>
    </xf>
    <xf numFmtId="43" fontId="6" fillId="0" borderId="0" xfId="158" applyFont="1"/>
    <xf numFmtId="204" fontId="172" fillId="0" borderId="34" xfId="159" applyNumberFormat="1" applyFont="1" applyBorder="1" applyAlignment="1">
      <alignment horizontal="left"/>
    </xf>
    <xf numFmtId="43" fontId="156" fillId="0" borderId="0" xfId="158" applyNumberFormat="1" applyFont="1"/>
    <xf numFmtId="167" fontId="156" fillId="0" borderId="0" xfId="158" applyNumberFormat="1" applyFont="1"/>
    <xf numFmtId="193" fontId="6" fillId="0" borderId="0" xfId="159" applyNumberFormat="1" applyBorder="1"/>
    <xf numFmtId="210" fontId="6" fillId="0" borderId="0" xfId="159" applyNumberFormat="1" applyFont="1"/>
    <xf numFmtId="177" fontId="6" fillId="0" borderId="0" xfId="159" applyNumberFormat="1" applyFont="1" applyBorder="1" applyAlignment="1">
      <alignment horizontal="left"/>
    </xf>
    <xf numFmtId="204" fontId="6" fillId="0" borderId="0" xfId="159" applyNumberFormat="1" applyFont="1" applyBorder="1" applyAlignment="1">
      <alignment horizontal="left"/>
    </xf>
    <xf numFmtId="173" fontId="156" fillId="0" borderId="0" xfId="158" applyNumberFormat="1" applyFont="1"/>
    <xf numFmtId="166" fontId="173" fillId="50" borderId="0" xfId="161" applyNumberFormat="1" applyFont="1" applyFill="1" applyBorder="1" applyAlignment="1">
      <alignment horizontal="left"/>
    </xf>
    <xf numFmtId="39" fontId="6" fillId="0" borderId="0" xfId="159" applyNumberFormat="1" applyFont="1"/>
    <xf numFmtId="166" fontId="174" fillId="0" borderId="0" xfId="161" applyNumberFormat="1" applyFont="1" applyBorder="1" applyAlignment="1">
      <alignment horizontal="left"/>
    </xf>
    <xf numFmtId="0" fontId="175" fillId="0" borderId="0" xfId="157" applyFont="1"/>
    <xf numFmtId="15" fontId="156" fillId="0" borderId="0" xfId="157" applyNumberFormat="1" applyFont="1"/>
    <xf numFmtId="3" fontId="156" fillId="0" borderId="0" xfId="157" applyNumberFormat="1" applyFont="1"/>
    <xf numFmtId="167" fontId="156" fillId="0" borderId="0" xfId="158" applyNumberFormat="1" applyFont="1" applyFill="1" applyBorder="1"/>
    <xf numFmtId="166" fontId="161" fillId="0" borderId="0" xfId="158" applyNumberFormat="1" applyFont="1" applyFill="1" applyBorder="1"/>
    <xf numFmtId="167" fontId="159" fillId="0" borderId="0" xfId="158" applyNumberFormat="1" applyFont="1" applyFill="1" applyBorder="1"/>
    <xf numFmtId="206" fontId="161" fillId="0" borderId="0" xfId="160" applyNumberFormat="1" applyFont="1" applyFill="1" applyBorder="1" applyAlignment="1" applyProtection="1">
      <alignment horizontal="right" vertical="center"/>
    </xf>
    <xf numFmtId="167" fontId="161" fillId="7" borderId="0" xfId="158" applyNumberFormat="1" applyFont="1" applyFill="1" applyBorder="1"/>
    <xf numFmtId="167" fontId="156" fillId="7" borderId="0" xfId="158" applyNumberFormat="1" applyFont="1" applyFill="1" applyBorder="1"/>
    <xf numFmtId="0" fontId="138" fillId="0" borderId="0" xfId="0" applyNumberFormat="1" applyFont="1" applyFill="1" applyBorder="1" applyAlignment="1" applyProtection="1">
      <alignment vertical="top"/>
    </xf>
    <xf numFmtId="166" fontId="138" fillId="0" borderId="0" xfId="1" quotePrefix="1" applyNumberFormat="1" applyFont="1" applyFill="1" applyBorder="1" applyAlignment="1">
      <alignment horizontal="center"/>
    </xf>
    <xf numFmtId="166" fontId="113" fillId="0" borderId="0" xfId="1" applyNumberFormat="1" applyFont="1" applyFill="1"/>
    <xf numFmtId="0" fontId="35" fillId="0" borderId="0" xfId="0" quotePrefix="1" applyFont="1" applyFill="1" applyAlignment="1">
      <alignment horizontal="left" vertical="center"/>
    </xf>
    <xf numFmtId="0" fontId="35" fillId="0" borderId="14" xfId="0" applyFont="1" applyFill="1" applyBorder="1" applyAlignment="1">
      <alignment vertical="center"/>
    </xf>
    <xf numFmtId="0" fontId="35" fillId="0" borderId="18" xfId="0" applyFont="1" applyFill="1" applyBorder="1" applyAlignment="1">
      <alignment vertical="center"/>
    </xf>
    <xf numFmtId="0" fontId="35" fillId="0" borderId="0" xfId="0" quotePrefix="1" applyFont="1" applyFill="1" applyBorder="1" applyAlignment="1">
      <alignment horizontal="left" vertical="center" indent="4"/>
    </xf>
    <xf numFmtId="0" fontId="35" fillId="0" borderId="0" xfId="0" quotePrefix="1"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0" xfId="0" quotePrefix="1" applyFont="1" applyFill="1" applyBorder="1" applyAlignment="1">
      <alignment horizontal="left" vertical="center" indent="5"/>
    </xf>
    <xf numFmtId="0" fontId="35" fillId="0" borderId="0" xfId="0" applyNumberFormat="1" applyFont="1" applyFill="1"/>
    <xf numFmtId="166" fontId="114" fillId="0" borderId="0" xfId="1" applyNumberFormat="1" applyFont="1" applyFill="1" applyBorder="1" applyAlignment="1"/>
    <xf numFmtId="166" fontId="114" fillId="0" borderId="23" xfId="0" applyNumberFormat="1" applyFont="1" applyFill="1" applyBorder="1" applyProtection="1"/>
    <xf numFmtId="166" fontId="35" fillId="0" borderId="0" xfId="1" applyNumberFormat="1" applyFont="1" applyFill="1" applyBorder="1" applyAlignment="1"/>
    <xf numFmtId="166" fontId="32" fillId="0" borderId="23" xfId="0" applyNumberFormat="1" applyFont="1" applyFill="1" applyBorder="1"/>
    <xf numFmtId="166" fontId="116" fillId="0" borderId="23" xfId="0" applyNumberFormat="1" applyFont="1" applyFill="1" applyBorder="1"/>
    <xf numFmtId="0" fontId="114" fillId="0" borderId="0" xfId="0" applyNumberFormat="1" applyFont="1" applyFill="1" applyAlignment="1">
      <alignment horizontal="right" vertical="center"/>
    </xf>
    <xf numFmtId="0" fontId="32" fillId="0" borderId="0" xfId="0" applyNumberFormat="1" applyFont="1" applyFill="1" applyBorder="1" applyAlignment="1">
      <alignment vertical="center" wrapText="1"/>
    </xf>
    <xf numFmtId="166" fontId="35" fillId="0" borderId="0" xfId="1" applyNumberFormat="1" applyFont="1" applyFill="1" applyBorder="1" applyAlignment="1">
      <alignment vertical="center"/>
    </xf>
    <xf numFmtId="166" fontId="114" fillId="0" borderId="0" xfId="1" applyNumberFormat="1" applyFont="1" applyFill="1" applyBorder="1" applyAlignment="1">
      <alignment vertical="center"/>
    </xf>
    <xf numFmtId="0" fontId="32" fillId="0" borderId="0" xfId="0" applyFont="1" applyBorder="1" applyAlignment="1">
      <alignment horizontal="left" vertical="top"/>
    </xf>
    <xf numFmtId="0" fontId="32" fillId="0" borderId="0" xfId="0" applyFont="1" applyBorder="1" applyAlignment="1">
      <alignment vertical="center"/>
    </xf>
    <xf numFmtId="0" fontId="32" fillId="0" borderId="0" xfId="0" applyFont="1" applyBorder="1" applyAlignment="1">
      <alignment horizontal="left" vertical="center"/>
    </xf>
    <xf numFmtId="0" fontId="118" fillId="0" borderId="0" xfId="0" applyFont="1" applyBorder="1" applyAlignment="1">
      <alignment horizontal="left"/>
    </xf>
    <xf numFmtId="0" fontId="114" fillId="0" borderId="0" xfId="0" applyNumberFormat="1" applyFont="1" applyFill="1" applyBorder="1" applyAlignment="1">
      <alignment vertical="center"/>
    </xf>
    <xf numFmtId="0" fontId="32" fillId="0" borderId="0" xfId="0" applyFont="1" applyBorder="1" applyAlignment="1">
      <alignment horizontal="left" indent="1"/>
    </xf>
    <xf numFmtId="0" fontId="118" fillId="0" borderId="0" xfId="0" applyFont="1" applyBorder="1" applyAlignment="1">
      <alignment vertical="center"/>
    </xf>
    <xf numFmtId="0" fontId="32" fillId="0" borderId="0" xfId="0" applyFont="1" applyBorder="1" applyAlignment="1"/>
    <xf numFmtId="0" fontId="118" fillId="0" borderId="0" xfId="0" applyFont="1" applyBorder="1" applyAlignment="1">
      <alignment horizontal="left" vertical="top"/>
    </xf>
    <xf numFmtId="0" fontId="118" fillId="0" borderId="0" xfId="0" applyFont="1" applyBorder="1" applyAlignment="1"/>
    <xf numFmtId="0" fontId="118" fillId="0" borderId="0" xfId="0" applyFont="1" applyBorder="1" applyAlignment="1">
      <alignment vertical="top"/>
    </xf>
    <xf numFmtId="0" fontId="32" fillId="0" borderId="0" xfId="0" applyFont="1" applyBorder="1" applyAlignment="1">
      <alignment horizontal="left"/>
    </xf>
    <xf numFmtId="165" fontId="114" fillId="0" borderId="0" xfId="0" applyNumberFormat="1" applyFont="1" applyFill="1" applyBorder="1" applyAlignment="1">
      <alignment vertical="center"/>
    </xf>
    <xf numFmtId="166" fontId="114" fillId="2" borderId="0" xfId="0" applyNumberFormat="1" applyFont="1" applyFill="1" applyBorder="1" applyAlignment="1">
      <alignment vertical="center"/>
    </xf>
    <xf numFmtId="166" fontId="114" fillId="2" borderId="0" xfId="0" applyNumberFormat="1" applyFont="1" applyFill="1" applyBorder="1" applyAlignment="1">
      <alignment horizontal="center" vertical="center"/>
    </xf>
    <xf numFmtId="0" fontId="114" fillId="2" borderId="0" xfId="0" applyFont="1" applyFill="1" applyBorder="1" applyAlignment="1">
      <alignment horizontal="center" vertical="center"/>
    </xf>
    <xf numFmtId="166" fontId="114" fillId="2" borderId="0" xfId="0" applyNumberFormat="1" applyFont="1" applyFill="1" applyBorder="1" applyAlignment="1"/>
    <xf numFmtId="0" fontId="114" fillId="2" borderId="0" xfId="0" applyFont="1" applyFill="1" applyBorder="1" applyAlignment="1"/>
    <xf numFmtId="0" fontId="35" fillId="2" borderId="0" xfId="0" quotePrefix="1" applyFont="1" applyFill="1" applyBorder="1" applyAlignment="1">
      <alignment horizontal="center" vertical="center"/>
    </xf>
    <xf numFmtId="0" fontId="114" fillId="0" borderId="0" xfId="0" applyFont="1" applyFill="1" applyAlignment="1"/>
    <xf numFmtId="0" fontId="35" fillId="0" borderId="0" xfId="0" quotePrefix="1" applyFont="1" applyFill="1" applyAlignment="1">
      <alignment horizontal="center"/>
    </xf>
    <xf numFmtId="0" fontId="35" fillId="2" borderId="0" xfId="0" applyFont="1" applyFill="1" applyBorder="1" applyAlignment="1">
      <alignment horizontal="center" vertical="center" wrapText="1"/>
    </xf>
    <xf numFmtId="0" fontId="114" fillId="0" borderId="0" xfId="0" applyNumberFormat="1" applyFont="1" applyFill="1" applyBorder="1" applyAlignment="1">
      <alignment horizontal="center" vertical="center" wrapText="1"/>
    </xf>
    <xf numFmtId="0" fontId="114" fillId="0" borderId="0" xfId="0" applyFont="1" applyFill="1" applyAlignment="1">
      <alignment horizontal="center"/>
    </xf>
    <xf numFmtId="0" fontId="114" fillId="0" borderId="0" xfId="0" applyFont="1" applyFill="1" applyAlignment="1"/>
    <xf numFmtId="0" fontId="171" fillId="0" borderId="0" xfId="148" applyFont="1" applyAlignment="1"/>
    <xf numFmtId="10" fontId="132" fillId="0" borderId="0" xfId="3" applyNumberFormat="1" applyFont="1" applyFill="1" applyAlignment="1">
      <alignment vertical="center"/>
    </xf>
    <xf numFmtId="0" fontId="180" fillId="0" borderId="0" xfId="148" applyFont="1" applyFill="1"/>
    <xf numFmtId="0" fontId="180" fillId="0" borderId="0" xfId="148" applyFont="1" applyFill="1" applyBorder="1"/>
    <xf numFmtId="0" fontId="35" fillId="0" borderId="0" xfId="148" applyFont="1" applyFill="1" applyAlignment="1">
      <alignment horizontal="left"/>
    </xf>
    <xf numFmtId="0" fontId="114" fillId="0" borderId="0" xfId="171" applyNumberFormat="1" applyFont="1" applyFill="1" applyAlignment="1">
      <alignment vertical="top"/>
    </xf>
    <xf numFmtId="0" fontId="114" fillId="0" borderId="0" xfId="148" applyFont="1" applyFill="1"/>
    <xf numFmtId="166" fontId="35" fillId="0" borderId="0" xfId="164" applyNumberFormat="1" applyFont="1" applyFill="1" applyAlignment="1" applyProtection="1">
      <alignment horizontal="center"/>
    </xf>
    <xf numFmtId="166" fontId="35" fillId="0" borderId="0" xfId="164" applyNumberFormat="1" applyFont="1" applyFill="1" applyBorder="1" applyAlignment="1" applyProtection="1">
      <alignment horizontal="center"/>
    </xf>
    <xf numFmtId="0" fontId="114" fillId="0" borderId="0" xfId="148" applyFont="1" applyFill="1" applyAlignment="1">
      <alignment horizontal="left"/>
    </xf>
    <xf numFmtId="0" fontId="35" fillId="0" borderId="0" xfId="192" quotePrefix="1" applyNumberFormat="1" applyFont="1" applyFill="1" applyAlignment="1">
      <alignment horizontal="center" vertical="top"/>
    </xf>
    <xf numFmtId="0" fontId="35" fillId="0" borderId="0" xfId="192" quotePrefix="1" applyNumberFormat="1" applyFont="1" applyFill="1" applyBorder="1" applyAlignment="1">
      <alignment horizontal="center" vertical="top"/>
    </xf>
    <xf numFmtId="165" fontId="35" fillId="0" borderId="0" xfId="153" applyFont="1" applyFill="1" applyAlignment="1">
      <alignment horizontal="center"/>
    </xf>
    <xf numFmtId="165" fontId="35" fillId="0" borderId="0" xfId="153" applyFont="1" applyFill="1" applyBorder="1" applyAlignment="1">
      <alignment horizontal="center"/>
    </xf>
    <xf numFmtId="0" fontId="35" fillId="0" borderId="0" xfId="171" applyNumberFormat="1" applyFont="1" applyFill="1" applyAlignment="1">
      <alignment vertical="top"/>
    </xf>
    <xf numFmtId="0" fontId="32" fillId="0" borderId="0" xfId="172" applyFont="1" applyFill="1" applyAlignment="1">
      <alignment horizontal="left" vertical="top"/>
    </xf>
    <xf numFmtId="0" fontId="114" fillId="0" borderId="0" xfId="173" quotePrefix="1" applyFont="1" applyFill="1" applyAlignment="1">
      <alignment vertical="top" wrapText="1"/>
    </xf>
    <xf numFmtId="0" fontId="114" fillId="0" borderId="0" xfId="148" applyFont="1" applyFill="1" applyBorder="1"/>
    <xf numFmtId="0" fontId="32" fillId="0" borderId="0" xfId="172" applyFont="1" applyFill="1" applyAlignment="1">
      <alignment horizontal="left" vertical="top" indent="1"/>
    </xf>
    <xf numFmtId="166" fontId="114" fillId="0" borderId="7" xfId="1" applyNumberFormat="1" applyFont="1" applyFill="1" applyBorder="1"/>
    <xf numFmtId="0" fontId="32" fillId="0" borderId="0" xfId="172" quotePrefix="1" applyFont="1" applyFill="1" applyAlignment="1">
      <alignment horizontal="left" vertical="top" indent="1"/>
    </xf>
    <xf numFmtId="166" fontId="35" fillId="0" borderId="7" xfId="1" applyNumberFormat="1" applyFont="1" applyFill="1" applyBorder="1"/>
    <xf numFmtId="166" fontId="35" fillId="0" borderId="0" xfId="1" applyNumberFormat="1" applyFont="1" applyFill="1" applyBorder="1"/>
    <xf numFmtId="0" fontId="179" fillId="0" borderId="0" xfId="148" applyFont="1" applyFill="1" applyAlignment="1">
      <alignment horizontal="center"/>
    </xf>
    <xf numFmtId="0" fontId="179" fillId="0" borderId="0" xfId="148" applyFont="1" applyFill="1" applyBorder="1" applyAlignment="1">
      <alignment horizontal="center"/>
    </xf>
    <xf numFmtId="0" fontId="179" fillId="0" borderId="0" xfId="148" applyFont="1" applyFill="1"/>
    <xf numFmtId="166" fontId="179" fillId="0" borderId="0" xfId="1" applyNumberFormat="1" applyFont="1" applyFill="1"/>
    <xf numFmtId="166" fontId="180" fillId="0" borderId="0" xfId="1" applyNumberFormat="1" applyFont="1" applyFill="1"/>
    <xf numFmtId="166" fontId="179" fillId="0" borderId="5" xfId="1" applyNumberFormat="1" applyFont="1" applyFill="1" applyBorder="1"/>
    <xf numFmtId="166" fontId="180" fillId="0" borderId="5" xfId="1" applyNumberFormat="1" applyFont="1" applyFill="1" applyBorder="1"/>
    <xf numFmtId="0" fontId="146" fillId="0" borderId="0" xfId="149" applyFont="1" applyFill="1"/>
    <xf numFmtId="166" fontId="131" fillId="0" borderId="0" xfId="1" applyNumberFormat="1" applyFont="1" applyFill="1" applyAlignment="1">
      <alignment horizontal="right"/>
    </xf>
    <xf numFmtId="166" fontId="131" fillId="0" borderId="104" xfId="1" quotePrefix="1" applyNumberFormat="1" applyFont="1" applyFill="1" applyBorder="1" applyAlignment="1">
      <alignment horizontal="right"/>
    </xf>
    <xf numFmtId="166" fontId="113" fillId="0" borderId="0" xfId="1" quotePrefix="1" applyNumberFormat="1" applyFont="1" applyFill="1" applyAlignment="1"/>
    <xf numFmtId="0" fontId="181" fillId="51" borderId="0" xfId="0" applyFont="1" applyFill="1" applyAlignment="1">
      <alignment horizontal="left" vertical="top" wrapText="1" readingOrder="1"/>
    </xf>
    <xf numFmtId="0" fontId="0" fillId="51" borderId="0" xfId="0" applyFill="1" applyAlignment="1">
      <alignment vertical="top" wrapText="1" readingOrder="1"/>
    </xf>
    <xf numFmtId="0" fontId="0" fillId="52" borderId="0" xfId="0" applyFill="1" applyAlignment="1">
      <alignment vertical="top" readingOrder="1"/>
    </xf>
    <xf numFmtId="0" fontId="0" fillId="52" borderId="0" xfId="0" applyFill="1" applyAlignment="1">
      <alignment horizontal="left" vertical="top" wrapText="1" readingOrder="1"/>
    </xf>
    <xf numFmtId="0" fontId="0" fillId="52" borderId="0" xfId="0" applyFill="1" applyAlignment="1">
      <alignment vertical="top" wrapText="1" readingOrder="1"/>
    </xf>
    <xf numFmtId="0" fontId="181" fillId="52" borderId="0" xfId="0" applyFont="1" applyFill="1" applyAlignment="1">
      <alignment horizontal="left" vertical="top" wrapText="1" readingOrder="1"/>
    </xf>
    <xf numFmtId="0" fontId="0" fillId="51" borderId="0" xfId="0" applyFill="1" applyAlignment="1">
      <alignment horizontal="right" vertical="top" wrapText="1" readingOrder="1"/>
    </xf>
    <xf numFmtId="0" fontId="184" fillId="51" borderId="0" xfId="0" applyFont="1" applyFill="1" applyAlignment="1">
      <alignment horizontal="right" vertical="top" wrapText="1" readingOrder="1"/>
    </xf>
    <xf numFmtId="0" fontId="0" fillId="51" borderId="0" xfId="0" applyFill="1" applyAlignment="1">
      <alignment vertical="top" wrapText="1"/>
    </xf>
    <xf numFmtId="0" fontId="0" fillId="52" borderId="0" xfId="0" applyFill="1" applyAlignment="1">
      <alignment vertical="top"/>
    </xf>
    <xf numFmtId="0" fontId="0" fillId="0" borderId="0" xfId="0" applyAlignment="1">
      <alignment vertical="top"/>
    </xf>
    <xf numFmtId="0" fontId="0" fillId="52" borderId="0" xfId="0" applyFill="1" applyAlignment="1">
      <alignment vertical="top" wrapText="1"/>
    </xf>
    <xf numFmtId="0" fontId="114" fillId="0" borderId="0" xfId="0" applyFont="1" applyFill="1" applyAlignment="1"/>
    <xf numFmtId="168" fontId="118" fillId="0" borderId="0" xfId="0" applyNumberFormat="1" applyFont="1" applyFill="1" applyBorder="1" applyAlignment="1">
      <alignment horizontal="left"/>
    </xf>
    <xf numFmtId="168" fontId="35" fillId="0" borderId="0" xfId="148" applyNumberFormat="1" applyFont="1" applyFill="1" applyAlignment="1">
      <alignment horizontal="left"/>
    </xf>
    <xf numFmtId="166" fontId="117" fillId="0" borderId="0" xfId="1" applyNumberFormat="1" applyFont="1" applyFill="1" applyBorder="1" applyAlignment="1">
      <alignment horizontal="center"/>
    </xf>
    <xf numFmtId="0" fontId="117" fillId="0" borderId="0" xfId="0" applyFont="1" applyFill="1" applyAlignment="1">
      <alignment horizontal="center"/>
    </xf>
    <xf numFmtId="43" fontId="35" fillId="0" borderId="0" xfId="1" applyFont="1" applyFill="1" applyAlignment="1">
      <alignment horizontal="center"/>
    </xf>
    <xf numFmtId="166" fontId="35" fillId="0" borderId="5" xfId="0" applyNumberFormat="1" applyFont="1" applyFill="1" applyBorder="1" applyAlignment="1">
      <alignment horizontal="center" vertical="center"/>
    </xf>
    <xf numFmtId="166" fontId="35" fillId="0" borderId="3" xfId="0" applyNumberFormat="1" applyFont="1" applyFill="1" applyBorder="1" applyAlignment="1">
      <alignment vertical="top"/>
    </xf>
    <xf numFmtId="0" fontId="114" fillId="0" borderId="102" xfId="0" applyNumberFormat="1" applyFont="1" applyFill="1" applyBorder="1" applyAlignment="1">
      <alignment horizontal="left" vertical="center"/>
    </xf>
    <xf numFmtId="0" fontId="114" fillId="0" borderId="0" xfId="0" applyFont="1" applyFill="1" applyAlignment="1">
      <alignment horizontal="left"/>
    </xf>
    <xf numFmtId="166" fontId="186" fillId="0" borderId="0" xfId="1" applyNumberFormat="1" applyFont="1" applyFill="1"/>
    <xf numFmtId="0" fontId="114" fillId="0" borderId="0" xfId="0" applyFont="1" applyFill="1" applyAlignment="1">
      <alignment horizontal="left"/>
    </xf>
    <xf numFmtId="166" fontId="35" fillId="0" borderId="2" xfId="0" applyNumberFormat="1" applyFont="1" applyFill="1" applyBorder="1" applyAlignment="1"/>
    <xf numFmtId="166" fontId="35" fillId="0" borderId="3" xfId="0" applyNumberFormat="1" applyFont="1" applyFill="1" applyBorder="1" applyAlignment="1"/>
    <xf numFmtId="166" fontId="35" fillId="0" borderId="4" xfId="0" applyNumberFormat="1" applyFont="1" applyFill="1" applyBorder="1" applyAlignment="1"/>
    <xf numFmtId="166" fontId="187" fillId="43" borderId="0" xfId="1" applyNumberFormat="1" applyFont="1" applyFill="1"/>
    <xf numFmtId="166" fontId="187" fillId="0" borderId="0" xfId="1" applyNumberFormat="1" applyFont="1" applyFill="1"/>
    <xf numFmtId="0" fontId="187" fillId="42" borderId="0" xfId="0" applyFont="1" applyFill="1"/>
    <xf numFmtId="0" fontId="114" fillId="0" borderId="0" xfId="149" applyFont="1" applyFill="1"/>
    <xf numFmtId="3" fontId="122" fillId="7" borderId="0" xfId="0" applyNumberFormat="1" applyFont="1" applyFill="1"/>
    <xf numFmtId="0" fontId="32" fillId="0" borderId="0" xfId="0" applyFont="1" applyFill="1" applyAlignment="1">
      <alignment horizontal="left" vertical="top" indent="1"/>
    </xf>
    <xf numFmtId="169" fontId="132" fillId="0" borderId="0" xfId="0" applyNumberFormat="1" applyFont="1" applyBorder="1" applyAlignment="1">
      <alignment horizontal="center"/>
    </xf>
    <xf numFmtId="0" fontId="114" fillId="0" borderId="0" xfId="0" applyFont="1" applyFill="1" applyAlignment="1">
      <alignment horizontal="left"/>
    </xf>
    <xf numFmtId="166" fontId="35" fillId="0" borderId="5" xfId="1" applyNumberFormat="1" applyFont="1" applyFill="1" applyBorder="1" applyAlignment="1"/>
    <xf numFmtId="166" fontId="35" fillId="0" borderId="5" xfId="0" applyNumberFormat="1" applyFont="1" applyFill="1" applyBorder="1" applyAlignment="1"/>
    <xf numFmtId="166" fontId="116" fillId="0" borderId="0" xfId="0" applyNumberFormat="1" applyFont="1" applyFill="1" applyBorder="1"/>
    <xf numFmtId="43" fontId="114" fillId="0" borderId="0" xfId="1" applyNumberFormat="1" applyFont="1" applyFill="1" applyAlignment="1">
      <alignment vertical="center"/>
    </xf>
    <xf numFmtId="4" fontId="0" fillId="0" borderId="0" xfId="0" applyNumberFormat="1" applyFill="1"/>
    <xf numFmtId="166" fontId="187" fillId="0" borderId="5" xfId="1" applyNumberFormat="1" applyFont="1" applyFill="1" applyBorder="1"/>
    <xf numFmtId="43" fontId="0" fillId="0" borderId="0" xfId="1" applyNumberFormat="1" applyFont="1"/>
    <xf numFmtId="193" fontId="0" fillId="0" borderId="0" xfId="0" applyNumberFormat="1"/>
    <xf numFmtId="1" fontId="0" fillId="0" borderId="0" xfId="0" applyNumberFormat="1"/>
    <xf numFmtId="0" fontId="0" fillId="0" borderId="0" xfId="0" applyFont="1"/>
    <xf numFmtId="3" fontId="0" fillId="0" borderId="0" xfId="0" applyNumberFormat="1"/>
    <xf numFmtId="0" fontId="0" fillId="0" borderId="5" xfId="0" applyBorder="1" applyAlignment="1">
      <alignment vertical="top"/>
    </xf>
    <xf numFmtId="166" fontId="187" fillId="0" borderId="5" xfId="0" applyNumberFormat="1" applyFont="1" applyBorder="1"/>
    <xf numFmtId="0" fontId="114" fillId="0" borderId="0" xfId="0" quotePrefix="1" applyFont="1" applyFill="1" applyAlignment="1">
      <alignment horizontal="justify" vertical="top"/>
    </xf>
    <xf numFmtId="0" fontId="35" fillId="0" borderId="0" xfId="149" applyFont="1" applyFill="1"/>
    <xf numFmtId="173" fontId="0" fillId="0" borderId="0" xfId="1" applyNumberFormat="1" applyFont="1" applyFill="1"/>
    <xf numFmtId="168" fontId="35" fillId="0" borderId="0" xfId="0" quotePrefix="1" applyNumberFormat="1" applyFont="1" applyFill="1" applyBorder="1" applyAlignment="1">
      <alignment horizontal="left" vertical="top"/>
    </xf>
    <xf numFmtId="173" fontId="132" fillId="0" borderId="0" xfId="0" applyNumberFormat="1" applyFont="1" applyFill="1"/>
    <xf numFmtId="166" fontId="131" fillId="0" borderId="2" xfId="0" applyNumberFormat="1" applyFont="1" applyFill="1" applyBorder="1"/>
    <xf numFmtId="166" fontId="131" fillId="0" borderId="4" xfId="1" applyNumberFormat="1" applyFont="1" applyFill="1" applyBorder="1" applyAlignment="1">
      <alignment horizontal="center"/>
    </xf>
    <xf numFmtId="0" fontId="118" fillId="0" borderId="0" xfId="0" applyFont="1" applyFill="1"/>
    <xf numFmtId="196" fontId="189" fillId="0" borderId="67" xfId="1" applyNumberFormat="1" applyFont="1" applyBorder="1" applyAlignment="1">
      <alignment vertical="center"/>
    </xf>
    <xf numFmtId="3" fontId="189" fillId="0" borderId="67" xfId="1" applyNumberFormat="1" applyFont="1" applyBorder="1" applyAlignment="1">
      <alignment vertical="center"/>
    </xf>
    <xf numFmtId="0" fontId="32" fillId="2" borderId="0" xfId="0" applyFont="1" applyFill="1" applyAlignment="1">
      <alignment vertical="center"/>
    </xf>
    <xf numFmtId="0" fontId="118" fillId="2" borderId="0" xfId="0" applyFont="1" applyFill="1"/>
    <xf numFmtId="166" fontId="35" fillId="0" borderId="0" xfId="0" applyNumberFormat="1" applyFont="1" applyFill="1" applyAlignment="1">
      <alignment horizontal="center" vertical="top"/>
    </xf>
    <xf numFmtId="166" fontId="35" fillId="0" borderId="0" xfId="0" applyNumberFormat="1" applyFont="1" applyFill="1" applyAlignment="1">
      <alignment horizontal="center" vertical="top"/>
    </xf>
    <xf numFmtId="0" fontId="72" fillId="0" borderId="0" xfId="0" applyFont="1" applyAlignment="1">
      <alignment horizontal="justify" vertical="justify" wrapText="1"/>
    </xf>
    <xf numFmtId="166" fontId="35" fillId="0" borderId="0" xfId="0" applyNumberFormat="1" applyFont="1" applyFill="1" applyAlignment="1">
      <alignment horizontal="left" vertical="top"/>
    </xf>
    <xf numFmtId="0" fontId="191" fillId="0" borderId="0" xfId="193" applyFont="1" applyFill="1" applyAlignment="1">
      <alignment horizontal="justify" vertical="top" wrapText="1"/>
    </xf>
    <xf numFmtId="0" fontId="191" fillId="0" borderId="0" xfId="193" quotePrefix="1" applyFont="1" applyFill="1" applyAlignment="1">
      <alignment horizontal="justify" vertical="top" wrapText="1"/>
    </xf>
    <xf numFmtId="0" fontId="192" fillId="0" borderId="0" xfId="193" applyFont="1" applyFill="1" applyAlignment="1">
      <alignment horizontal="justify" vertical="top" wrapText="1"/>
    </xf>
    <xf numFmtId="0" fontId="190" fillId="0" borderId="0" xfId="193" applyFont="1" applyFill="1" applyAlignment="1">
      <alignment vertical="top" wrapText="1"/>
    </xf>
    <xf numFmtId="0" fontId="92" fillId="0" borderId="0" xfId="0" applyFont="1" applyAlignment="1">
      <alignment horizontal="justify" vertical="justify" wrapText="1"/>
    </xf>
    <xf numFmtId="0" fontId="32" fillId="0" borderId="0" xfId="193" applyFont="1" applyFill="1" applyAlignment="1">
      <alignment vertical="top" wrapText="1"/>
    </xf>
    <xf numFmtId="0" fontId="193" fillId="0" borderId="0" xfId="193" quotePrefix="1" applyFont="1" applyFill="1" applyAlignment="1">
      <alignment horizontal="justify" vertical="top" wrapText="1"/>
    </xf>
    <xf numFmtId="10" fontId="114" fillId="0" borderId="0" xfId="3" applyNumberFormat="1" applyFont="1" applyFill="1" applyBorder="1" applyAlignment="1">
      <alignment horizontal="right" vertical="center"/>
    </xf>
    <xf numFmtId="10" fontId="35" fillId="0" borderId="5" xfId="3" applyNumberFormat="1" applyFont="1" applyFill="1" applyBorder="1" applyAlignment="1">
      <alignment horizontal="right" vertical="center"/>
    </xf>
    <xf numFmtId="10" fontId="35" fillId="0" borderId="5" xfId="0" applyNumberFormat="1" applyFont="1" applyFill="1" applyBorder="1" applyAlignment="1">
      <alignment horizontal="right"/>
    </xf>
    <xf numFmtId="10" fontId="35" fillId="0" borderId="5" xfId="3" applyNumberFormat="1" applyFont="1" applyFill="1" applyBorder="1" applyAlignment="1">
      <alignment horizontal="right"/>
    </xf>
    <xf numFmtId="10" fontId="35" fillId="0" borderId="0" xfId="3" applyNumberFormat="1" applyFont="1" applyFill="1" applyBorder="1" applyAlignment="1">
      <alignment horizontal="right"/>
    </xf>
    <xf numFmtId="10" fontId="35" fillId="0" borderId="0" xfId="0" applyNumberFormat="1" applyFont="1" applyFill="1" applyBorder="1" applyAlignment="1">
      <alignment horizontal="right" vertical="center"/>
    </xf>
    <xf numFmtId="10" fontId="35" fillId="0" borderId="0" xfId="0" quotePrefix="1" applyNumberFormat="1" applyFont="1" applyFill="1" applyBorder="1" applyAlignment="1">
      <alignment horizontal="right" vertical="center" indent="2"/>
    </xf>
    <xf numFmtId="10" fontId="35" fillId="0" borderId="0" xfId="0" quotePrefix="1" applyNumberFormat="1" applyFont="1" applyFill="1" applyBorder="1" applyAlignment="1">
      <alignment horizontal="right" vertical="center" wrapText="1"/>
    </xf>
    <xf numFmtId="10" fontId="35" fillId="0" borderId="0" xfId="0" applyNumberFormat="1" applyFont="1" applyFill="1" applyBorder="1" applyAlignment="1">
      <alignment horizontal="right"/>
    </xf>
    <xf numFmtId="10" fontId="114" fillId="0" borderId="0" xfId="0" applyNumberFormat="1" applyFont="1" applyFill="1" applyBorder="1" applyAlignment="1">
      <alignment horizontal="right"/>
    </xf>
    <xf numFmtId="10" fontId="35" fillId="0" borderId="0" xfId="1" applyNumberFormat="1" applyFont="1" applyFill="1" applyBorder="1" applyAlignment="1">
      <alignment horizontal="right"/>
    </xf>
    <xf numFmtId="10" fontId="35" fillId="0" borderId="0" xfId="1" applyNumberFormat="1" applyFont="1" applyFill="1" applyBorder="1" applyAlignment="1">
      <alignment horizontal="right" vertical="center"/>
    </xf>
    <xf numFmtId="10" fontId="114" fillId="0" borderId="0" xfId="1" applyNumberFormat="1" applyFont="1" applyFill="1" applyBorder="1" applyAlignment="1">
      <alignment horizontal="right"/>
    </xf>
    <xf numFmtId="10" fontId="114" fillId="0" borderId="0" xfId="1" applyNumberFormat="1" applyFont="1" applyFill="1" applyAlignment="1">
      <alignment horizontal="right"/>
    </xf>
    <xf numFmtId="10" fontId="114" fillId="0" borderId="0" xfId="0" applyNumberFormat="1" applyFont="1" applyFill="1" applyAlignment="1">
      <alignment horizontal="right"/>
    </xf>
    <xf numFmtId="0" fontId="35" fillId="0" borderId="0" xfId="0" applyFont="1" applyFill="1" applyBorder="1" applyAlignment="1">
      <alignment horizontal="center"/>
    </xf>
    <xf numFmtId="0" fontId="114" fillId="0" borderId="0" xfId="0" applyFont="1" applyFill="1" applyAlignment="1">
      <alignment horizontal="center"/>
    </xf>
    <xf numFmtId="166" fontId="35" fillId="0" borderId="0" xfId="0" quotePrefix="1" applyNumberFormat="1" applyFont="1" applyFill="1" applyAlignment="1">
      <alignment horizontal="center"/>
    </xf>
    <xf numFmtId="166" fontId="35" fillId="0" borderId="0" xfId="0" applyNumberFormat="1" applyFont="1" applyFill="1" applyAlignment="1">
      <alignment horizontal="center"/>
    </xf>
    <xf numFmtId="0" fontId="114" fillId="0" borderId="0" xfId="0" applyFont="1" applyFill="1" applyAlignment="1"/>
    <xf numFmtId="0" fontId="114" fillId="0" borderId="0" xfId="0" applyFont="1" applyFill="1" applyAlignment="1">
      <alignment horizontal="left"/>
    </xf>
    <xf numFmtId="166" fontId="132" fillId="0" borderId="0" xfId="0" applyNumberFormat="1" applyFont="1" applyFill="1" applyAlignment="1">
      <alignment horizontal="center"/>
    </xf>
    <xf numFmtId="0" fontId="131" fillId="0" borderId="0" xfId="0" applyFont="1" applyFill="1" applyAlignment="1">
      <alignment horizontal="center"/>
    </xf>
    <xf numFmtId="0" fontId="131" fillId="0" borderId="100" xfId="0" applyFont="1" applyFill="1" applyBorder="1" applyAlignment="1">
      <alignment horizontal="center"/>
    </xf>
    <xf numFmtId="166" fontId="131" fillId="0" borderId="0" xfId="0" applyNumberFormat="1" applyFont="1" applyFill="1" applyAlignment="1">
      <alignment horizontal="center"/>
    </xf>
    <xf numFmtId="0" fontId="114" fillId="0" borderId="0" xfId="0" applyFont="1" applyFill="1" applyAlignment="1">
      <alignment horizontal="center" vertical="center"/>
    </xf>
    <xf numFmtId="0" fontId="117" fillId="0" borderId="100" xfId="0" applyFont="1" applyFill="1" applyBorder="1" applyAlignment="1">
      <alignment horizontal="center"/>
    </xf>
    <xf numFmtId="165" fontId="117" fillId="0" borderId="0" xfId="0" quotePrefix="1" applyNumberFormat="1" applyFont="1" applyFill="1" applyAlignment="1">
      <alignment horizontal="center" vertical="center" wrapText="1"/>
    </xf>
    <xf numFmtId="0" fontId="27" fillId="2" borderId="0" xfId="0" applyNumberFormat="1" applyFont="1" applyFill="1" applyAlignment="1">
      <alignment horizontal="center" vertical="top"/>
    </xf>
    <xf numFmtId="0" fontId="27" fillId="2" borderId="0" xfId="0" applyFont="1" applyFill="1" applyAlignment="1">
      <alignment horizontal="center"/>
    </xf>
    <xf numFmtId="0" fontId="6" fillId="2" borderId="0" xfId="0" applyFont="1" applyFill="1" applyAlignment="1">
      <alignment horizontal="left" wrapText="1"/>
    </xf>
    <xf numFmtId="0" fontId="31" fillId="0" borderId="11" xfId="0" applyFont="1" applyFill="1" applyBorder="1" applyAlignment="1">
      <alignment horizontal="center"/>
    </xf>
    <xf numFmtId="0" fontId="31" fillId="0" borderId="12" xfId="0" applyFont="1" applyFill="1" applyBorder="1" applyAlignment="1">
      <alignment horizontal="center"/>
    </xf>
    <xf numFmtId="0" fontId="31" fillId="0" borderId="13" xfId="0" applyFont="1" applyFill="1" applyBorder="1" applyAlignment="1">
      <alignment horizontal="center"/>
    </xf>
    <xf numFmtId="166" fontId="31" fillId="0" borderId="11" xfId="0" applyNumberFormat="1" applyFont="1" applyFill="1" applyBorder="1" applyAlignment="1">
      <alignment horizontal="center"/>
    </xf>
    <xf numFmtId="166" fontId="31" fillId="0" borderId="12" xfId="0" applyNumberFormat="1" applyFont="1" applyFill="1" applyBorder="1" applyAlignment="1">
      <alignment horizontal="center"/>
    </xf>
    <xf numFmtId="166" fontId="31" fillId="0" borderId="13" xfId="0" applyNumberFormat="1" applyFont="1" applyFill="1" applyBorder="1" applyAlignment="1">
      <alignment horizontal="center"/>
    </xf>
    <xf numFmtId="0" fontId="27" fillId="2" borderId="0" xfId="0" applyNumberFormat="1" applyFont="1" applyFill="1" applyAlignment="1">
      <alignment horizontal="center"/>
    </xf>
    <xf numFmtId="0" fontId="27" fillId="2" borderId="0" xfId="0" quotePrefix="1" applyFont="1" applyFill="1" applyAlignment="1">
      <alignment horizontal="center"/>
    </xf>
    <xf numFmtId="166" fontId="27" fillId="2" borderId="0" xfId="0" applyNumberFormat="1" applyFont="1" applyFill="1" applyAlignment="1">
      <alignment horizontal="center" wrapText="1"/>
    </xf>
    <xf numFmtId="2" fontId="6" fillId="0" borderId="0" xfId="0" quotePrefix="1" applyNumberFormat="1" applyFont="1" applyFill="1" applyAlignment="1">
      <alignment horizontal="left" vertical="top" wrapText="1"/>
    </xf>
    <xf numFmtId="166" fontId="27" fillId="2" borderId="0" xfId="0" applyNumberFormat="1" applyFont="1" applyFill="1" applyAlignment="1">
      <alignment horizontal="center"/>
    </xf>
    <xf numFmtId="0" fontId="27" fillId="2" borderId="0" xfId="0" quotePrefix="1" applyFont="1" applyFill="1" applyBorder="1" applyAlignment="1">
      <alignment horizontal="center"/>
    </xf>
    <xf numFmtId="0" fontId="6" fillId="2" borderId="35" xfId="0" applyFont="1" applyFill="1" applyBorder="1" applyAlignment="1">
      <alignment horizontal="center"/>
    </xf>
    <xf numFmtId="0" fontId="6" fillId="2" borderId="44" xfId="0" applyFont="1" applyFill="1" applyBorder="1" applyAlignment="1">
      <alignment horizontal="center"/>
    </xf>
    <xf numFmtId="0" fontId="27" fillId="0" borderId="0" xfId="0" applyFont="1" applyFill="1" applyAlignment="1">
      <alignment horizontal="center"/>
    </xf>
    <xf numFmtId="166" fontId="6" fillId="0" borderId="0" xfId="0" applyNumberFormat="1" applyFont="1" applyFill="1" applyAlignment="1">
      <alignment horizontal="center" vertical="center"/>
    </xf>
    <xf numFmtId="0" fontId="27" fillId="2" borderId="11" xfId="0" applyFont="1" applyFill="1" applyBorder="1" applyAlignment="1">
      <alignment horizontal="center"/>
    </xf>
    <xf numFmtId="0" fontId="27" fillId="2" borderId="12" xfId="0" applyFont="1" applyFill="1" applyBorder="1" applyAlignment="1">
      <alignment horizontal="center"/>
    </xf>
    <xf numFmtId="0" fontId="27" fillId="2" borderId="13" xfId="0" applyFont="1" applyFill="1" applyBorder="1" applyAlignment="1">
      <alignment horizontal="center"/>
    </xf>
    <xf numFmtId="0" fontId="27" fillId="2" borderId="14" xfId="0" applyFont="1" applyFill="1" applyBorder="1" applyAlignment="1">
      <alignment horizontal="center"/>
    </xf>
    <xf numFmtId="0" fontId="27" fillId="2" borderId="8" xfId="0" applyFont="1" applyFill="1" applyBorder="1" applyAlignment="1">
      <alignment horizontal="center"/>
    </xf>
    <xf numFmtId="0" fontId="27" fillId="2" borderId="15" xfId="0" applyFont="1" applyFill="1" applyBorder="1" applyAlignment="1">
      <alignment horizontal="center"/>
    </xf>
    <xf numFmtId="166" fontId="27" fillId="0" borderId="0" xfId="0" applyNumberFormat="1" applyFont="1" applyFill="1" applyAlignment="1">
      <alignment horizontal="center"/>
    </xf>
    <xf numFmtId="0" fontId="27" fillId="2" borderId="11" xfId="0" applyNumberFormat="1" applyFont="1" applyFill="1" applyBorder="1" applyAlignment="1">
      <alignment horizontal="center" vertical="center"/>
    </xf>
    <xf numFmtId="0" fontId="27" fillId="2" borderId="12" xfId="0" applyNumberFormat="1" applyFont="1" applyFill="1" applyBorder="1" applyAlignment="1">
      <alignment horizontal="center" vertical="center"/>
    </xf>
    <xf numFmtId="0" fontId="27" fillId="2" borderId="13" xfId="0" applyNumberFormat="1" applyFont="1" applyFill="1" applyBorder="1" applyAlignment="1">
      <alignment horizontal="center" vertical="center"/>
    </xf>
    <xf numFmtId="166" fontId="27" fillId="0" borderId="11" xfId="0" applyNumberFormat="1" applyFont="1" applyFill="1" applyBorder="1" applyAlignment="1">
      <alignment horizontal="center"/>
    </xf>
    <xf numFmtId="166" fontId="27" fillId="0" borderId="12" xfId="0" applyNumberFormat="1" applyFont="1" applyFill="1" applyBorder="1" applyAlignment="1">
      <alignment horizontal="center"/>
    </xf>
    <xf numFmtId="166" fontId="27" fillId="0" borderId="13" xfId="0" applyNumberFormat="1" applyFont="1" applyFill="1" applyBorder="1" applyAlignment="1">
      <alignment horizontal="center"/>
    </xf>
    <xf numFmtId="0" fontId="6" fillId="0" borderId="35" xfId="0" applyFont="1" applyFill="1" applyBorder="1" applyAlignment="1">
      <alignment horizontal="center"/>
    </xf>
    <xf numFmtId="0" fontId="6" fillId="0" borderId="43" xfId="0" applyFont="1" applyFill="1" applyBorder="1" applyAlignment="1">
      <alignment horizontal="center"/>
    </xf>
    <xf numFmtId="0" fontId="27" fillId="0" borderId="0" xfId="0" applyFont="1" applyFill="1" applyBorder="1" applyAlignment="1">
      <alignment horizontal="center"/>
    </xf>
    <xf numFmtId="2" fontId="6" fillId="2" borderId="35" xfId="0" applyNumberFormat="1" applyFont="1" applyFill="1" applyBorder="1" applyAlignment="1">
      <alignment horizontal="center"/>
    </xf>
    <xf numFmtId="0" fontId="118" fillId="0" borderId="0" xfId="0" applyFont="1" applyFill="1" applyAlignment="1">
      <alignment horizontal="center"/>
    </xf>
    <xf numFmtId="0" fontId="35" fillId="0" borderId="0" xfId="0" quotePrefix="1" applyFont="1" applyFill="1" applyAlignment="1">
      <alignment horizontal="center" vertical="top"/>
    </xf>
    <xf numFmtId="0" fontId="35" fillId="0" borderId="100" xfId="0" applyNumberFormat="1" applyFont="1" applyFill="1" applyBorder="1" applyAlignment="1">
      <alignment horizontal="center" vertical="center" wrapText="1"/>
    </xf>
    <xf numFmtId="0" fontId="35" fillId="0" borderId="100" xfId="0" applyNumberFormat="1" applyFont="1" applyFill="1" applyBorder="1" applyAlignment="1">
      <alignment horizontal="center" vertical="center"/>
    </xf>
    <xf numFmtId="0" fontId="35" fillId="0" borderId="104" xfId="1" applyNumberFormat="1" applyFont="1" applyFill="1" applyBorder="1" applyAlignment="1">
      <alignment horizontal="center" vertical="center" wrapText="1"/>
    </xf>
    <xf numFmtId="0" fontId="35" fillId="0" borderId="3" xfId="1" applyNumberFormat="1" applyFont="1" applyFill="1" applyBorder="1" applyAlignment="1">
      <alignment horizontal="center" vertical="center" wrapText="1"/>
    </xf>
    <xf numFmtId="0" fontId="35" fillId="0" borderId="4" xfId="1" applyNumberFormat="1" applyFont="1" applyFill="1" applyBorder="1" applyAlignment="1">
      <alignment horizontal="center" vertical="center" wrapText="1"/>
    </xf>
    <xf numFmtId="0" fontId="90" fillId="0" borderId="0" xfId="0" applyFont="1" applyFill="1" applyAlignment="1">
      <alignment horizontal="center" vertical="top"/>
    </xf>
    <xf numFmtId="0" fontId="90" fillId="0" borderId="9" xfId="0" applyFont="1" applyFill="1" applyBorder="1" applyAlignment="1">
      <alignment horizontal="center" vertical="top"/>
    </xf>
    <xf numFmtId="0" fontId="90" fillId="0" borderId="0" xfId="0" quotePrefix="1" applyFont="1" applyFill="1" applyAlignment="1">
      <alignment horizontal="center" vertical="top"/>
    </xf>
    <xf numFmtId="166" fontId="114" fillId="0" borderId="0" xfId="0" applyNumberFormat="1" applyFont="1" applyFill="1" applyAlignment="1">
      <alignment horizontal="center" vertical="center"/>
    </xf>
    <xf numFmtId="166" fontId="35" fillId="0" borderId="11" xfId="0" applyNumberFormat="1" applyFont="1" applyFill="1" applyBorder="1" applyAlignment="1">
      <alignment horizontal="center"/>
    </xf>
    <xf numFmtId="166" fontId="35" fillId="0" borderId="12" xfId="0" applyNumberFormat="1" applyFont="1" applyFill="1" applyBorder="1" applyAlignment="1">
      <alignment horizontal="center"/>
    </xf>
    <xf numFmtId="166" fontId="35" fillId="0" borderId="13" xfId="0" applyNumberFormat="1" applyFont="1" applyFill="1" applyBorder="1" applyAlignment="1">
      <alignment horizontal="center"/>
    </xf>
    <xf numFmtId="0" fontId="114" fillId="0" borderId="35" xfId="0" applyFont="1" applyFill="1" applyBorder="1" applyAlignment="1">
      <alignment horizontal="center"/>
    </xf>
    <xf numFmtId="0" fontId="114" fillId="0" borderId="44" xfId="0" applyFont="1" applyFill="1" applyBorder="1" applyAlignment="1">
      <alignment horizontal="center"/>
    </xf>
    <xf numFmtId="2" fontId="114" fillId="0" borderId="35" xfId="0" applyNumberFormat="1" applyFont="1" applyFill="1" applyBorder="1" applyAlignment="1">
      <alignment horizontal="center"/>
    </xf>
    <xf numFmtId="0" fontId="35" fillId="0" borderId="11" xfId="0" applyFont="1" applyFill="1" applyBorder="1" applyAlignment="1">
      <alignment horizontal="center"/>
    </xf>
    <xf numFmtId="0" fontId="35" fillId="0" borderId="12" xfId="0" applyFont="1" applyFill="1" applyBorder="1" applyAlignment="1">
      <alignment horizontal="center"/>
    </xf>
    <xf numFmtId="0" fontId="35" fillId="0" borderId="13" xfId="0" applyFont="1" applyFill="1" applyBorder="1" applyAlignment="1">
      <alignment horizontal="center"/>
    </xf>
    <xf numFmtId="0" fontId="35" fillId="0" borderId="101" xfId="0" applyNumberFormat="1" applyFont="1" applyFill="1" applyBorder="1" applyAlignment="1">
      <alignment horizontal="center" vertical="center"/>
    </xf>
    <xf numFmtId="0" fontId="35" fillId="0" borderId="12" xfId="0" applyNumberFormat="1" applyFont="1" applyFill="1" applyBorder="1" applyAlignment="1">
      <alignment horizontal="center" vertical="center"/>
    </xf>
    <xf numFmtId="0" fontId="35" fillId="0" borderId="13" xfId="0" applyNumberFormat="1" applyFont="1" applyFill="1" applyBorder="1" applyAlignment="1">
      <alignment horizontal="center" vertical="center"/>
    </xf>
    <xf numFmtId="0" fontId="35" fillId="0" borderId="14" xfId="0" applyFont="1" applyFill="1" applyBorder="1" applyAlignment="1">
      <alignment horizontal="center"/>
    </xf>
    <xf numFmtId="0" fontId="35" fillId="0" borderId="8" xfId="0" applyFont="1" applyFill="1" applyBorder="1" applyAlignment="1">
      <alignment horizontal="center"/>
    </xf>
    <xf numFmtId="0" fontId="35" fillId="0" borderId="15" xfId="0" applyFont="1" applyFill="1" applyBorder="1" applyAlignment="1">
      <alignment horizontal="center"/>
    </xf>
    <xf numFmtId="0" fontId="114" fillId="0" borderId="43" xfId="0" applyFont="1" applyFill="1" applyBorder="1" applyAlignment="1">
      <alignment horizontal="center"/>
    </xf>
    <xf numFmtId="0" fontId="35" fillId="0" borderId="16" xfId="0" applyFont="1" applyFill="1" applyBorder="1" applyAlignment="1"/>
    <xf numFmtId="0" fontId="35" fillId="0" borderId="0" xfId="0" applyFont="1" applyFill="1" applyBorder="1" applyAlignment="1"/>
    <xf numFmtId="0" fontId="35" fillId="0" borderId="17" xfId="0" applyFont="1" applyFill="1" applyBorder="1" applyAlignment="1"/>
    <xf numFmtId="0" fontId="73" fillId="0" borderId="0" xfId="0" applyFont="1" applyFill="1" applyBorder="1" applyAlignment="1">
      <alignment horizontal="center"/>
    </xf>
    <xf numFmtId="0" fontId="73" fillId="0" borderId="0" xfId="0" applyFont="1" applyFill="1" applyAlignment="1">
      <alignment horizontal="center"/>
    </xf>
    <xf numFmtId="166" fontId="9" fillId="0" borderId="0" xfId="0" applyNumberFormat="1" applyFont="1" applyFill="1" applyAlignment="1">
      <alignment horizontal="center" vertical="center"/>
    </xf>
    <xf numFmtId="0" fontId="9" fillId="2" borderId="35" xfId="0" applyFont="1" applyFill="1" applyBorder="1" applyAlignment="1">
      <alignment horizontal="center"/>
    </xf>
    <xf numFmtId="0" fontId="9" fillId="2" borderId="44" xfId="0" applyFont="1" applyFill="1" applyBorder="1" applyAlignment="1">
      <alignment horizontal="center"/>
    </xf>
    <xf numFmtId="166" fontId="73" fillId="0" borderId="0" xfId="0" applyNumberFormat="1" applyFont="1" applyFill="1" applyAlignment="1">
      <alignment horizontal="center"/>
    </xf>
    <xf numFmtId="2" fontId="9" fillId="2" borderId="35" xfId="0" applyNumberFormat="1" applyFont="1" applyFill="1" applyBorder="1" applyAlignment="1">
      <alignment horizontal="center"/>
    </xf>
    <xf numFmtId="0" fontId="73" fillId="2" borderId="11" xfId="0" applyFont="1" applyFill="1" applyBorder="1" applyAlignment="1">
      <alignment horizontal="center"/>
    </xf>
    <xf numFmtId="0" fontId="73" fillId="2" borderId="12" xfId="0" applyFont="1" applyFill="1" applyBorder="1" applyAlignment="1">
      <alignment horizontal="center"/>
    </xf>
    <xf numFmtId="0" fontId="73" fillId="2" borderId="13" xfId="0" applyFont="1" applyFill="1" applyBorder="1" applyAlignment="1">
      <alignment horizontal="center"/>
    </xf>
    <xf numFmtId="0" fontId="73" fillId="2" borderId="11" xfId="0" applyNumberFormat="1" applyFont="1" applyFill="1" applyBorder="1" applyAlignment="1">
      <alignment horizontal="center" vertical="center"/>
    </xf>
    <xf numFmtId="0" fontId="73" fillId="2" borderId="12" xfId="0" applyNumberFormat="1" applyFont="1" applyFill="1" applyBorder="1" applyAlignment="1">
      <alignment horizontal="center" vertical="center"/>
    </xf>
    <xf numFmtId="0" fontId="73" fillId="2" borderId="13" xfId="0" applyNumberFormat="1" applyFont="1" applyFill="1" applyBorder="1" applyAlignment="1">
      <alignment horizontal="center" vertical="center"/>
    </xf>
    <xf numFmtId="166" fontId="73" fillId="0" borderId="11" xfId="0" applyNumberFormat="1" applyFont="1" applyFill="1" applyBorder="1" applyAlignment="1">
      <alignment horizontal="center"/>
    </xf>
    <xf numFmtId="166" fontId="73" fillId="0" borderId="12" xfId="0" applyNumberFormat="1" applyFont="1" applyFill="1" applyBorder="1" applyAlignment="1">
      <alignment horizontal="center"/>
    </xf>
    <xf numFmtId="166" fontId="73" fillId="0" borderId="13" xfId="0" applyNumberFormat="1" applyFont="1" applyFill="1" applyBorder="1" applyAlignment="1">
      <alignment horizontal="center"/>
    </xf>
    <xf numFmtId="0" fontId="73" fillId="2" borderId="14" xfId="0" applyFont="1" applyFill="1" applyBorder="1" applyAlignment="1">
      <alignment horizontal="center"/>
    </xf>
    <xf numFmtId="0" fontId="73" fillId="2" borderId="8" xfId="0" applyFont="1" applyFill="1" applyBorder="1" applyAlignment="1">
      <alignment horizontal="center"/>
    </xf>
    <xf numFmtId="0" fontId="73" fillId="2" borderId="15" xfId="0" applyFont="1" applyFill="1" applyBorder="1" applyAlignment="1">
      <alignment horizontal="center"/>
    </xf>
    <xf numFmtId="0" fontId="9" fillId="0" borderId="43" xfId="0" applyFont="1" applyFill="1" applyBorder="1" applyAlignment="1">
      <alignment horizontal="center"/>
    </xf>
    <xf numFmtId="0" fontId="9" fillId="0" borderId="35" xfId="0" applyFont="1" applyFill="1" applyBorder="1" applyAlignment="1">
      <alignment horizontal="center"/>
    </xf>
    <xf numFmtId="0" fontId="114" fillId="0" borderId="0" xfId="0" applyFont="1" applyFill="1" applyAlignment="1">
      <alignment horizontal="justify" vertical="top" wrapText="1"/>
    </xf>
    <xf numFmtId="0" fontId="114" fillId="0" borderId="0" xfId="0" quotePrefix="1" applyFont="1" applyFill="1" applyAlignment="1">
      <alignment horizontal="justify" vertical="top" wrapText="1"/>
    </xf>
    <xf numFmtId="0" fontId="32" fillId="0" borderId="0" xfId="0" applyFont="1" applyFill="1" applyAlignment="1">
      <alignment horizontal="justify" vertical="top" wrapText="1"/>
    </xf>
    <xf numFmtId="0" fontId="114" fillId="0" borderId="0" xfId="0" applyNumberFormat="1" applyFont="1" applyFill="1" applyAlignment="1">
      <alignment horizontal="justify" vertical="top" wrapText="1"/>
    </xf>
    <xf numFmtId="0" fontId="114" fillId="0" borderId="0" xfId="0" applyNumberFormat="1" applyFont="1" applyFill="1" applyAlignment="1" applyProtection="1">
      <alignment horizontal="justify" vertical="top"/>
    </xf>
    <xf numFmtId="0" fontId="114" fillId="0" borderId="0" xfId="0" quotePrefix="1" applyNumberFormat="1" applyFont="1" applyFill="1" applyAlignment="1" applyProtection="1">
      <alignment horizontal="justify" vertical="top"/>
    </xf>
    <xf numFmtId="0" fontId="35" fillId="0" borderId="0" xfId="0" applyFont="1" applyFill="1" applyAlignment="1">
      <alignment horizontal="center"/>
    </xf>
    <xf numFmtId="0" fontId="114" fillId="0" borderId="0" xfId="0" applyFont="1" applyFill="1" applyAlignment="1">
      <alignment horizontal="justify" vertical="top"/>
    </xf>
    <xf numFmtId="0" fontId="114" fillId="0" borderId="0" xfId="0" quotePrefix="1" applyFont="1" applyFill="1" applyAlignment="1">
      <alignment horizontal="justify" vertical="top"/>
    </xf>
    <xf numFmtId="166" fontId="35" fillId="0" borderId="0" xfId="153" quotePrefix="1" applyNumberFormat="1" applyFont="1" applyFill="1" applyAlignment="1">
      <alignment horizontal="center"/>
    </xf>
    <xf numFmtId="0" fontId="35" fillId="0" borderId="0" xfId="0" quotePrefix="1" applyFont="1" applyFill="1" applyAlignment="1">
      <alignment horizontal="center"/>
    </xf>
    <xf numFmtId="0" fontId="35" fillId="0" borderId="0" xfId="0" applyFont="1" applyFill="1" applyAlignment="1">
      <alignment horizontal="center" vertical="top" wrapText="1"/>
    </xf>
    <xf numFmtId="0" fontId="35" fillId="0" borderId="0" xfId="0" applyFont="1" applyFill="1" applyAlignment="1">
      <alignment horizontal="justify" vertical="top"/>
    </xf>
    <xf numFmtId="0" fontId="179" fillId="0" borderId="0" xfId="148" applyFont="1" applyFill="1" applyAlignment="1">
      <alignment horizontal="center"/>
    </xf>
    <xf numFmtId="0" fontId="180" fillId="0" borderId="0" xfId="148" quotePrefix="1" applyFont="1" applyFill="1" applyAlignment="1">
      <alignment horizontal="center" wrapText="1"/>
    </xf>
    <xf numFmtId="165" fontId="114" fillId="0" borderId="0" xfId="151" applyFont="1" applyFill="1" applyAlignment="1">
      <alignment horizontal="justify" vertical="center"/>
    </xf>
    <xf numFmtId="0" fontId="118" fillId="0" borderId="0" xfId="0" applyFont="1" applyFill="1" applyBorder="1" applyAlignment="1">
      <alignment horizontal="left" vertical="top" wrapText="1"/>
    </xf>
    <xf numFmtId="165" fontId="114" fillId="0" borderId="0" xfId="0" applyNumberFormat="1" applyFont="1" applyFill="1" applyAlignment="1">
      <alignment horizontal="justify" vertical="top" wrapText="1"/>
    </xf>
    <xf numFmtId="0" fontId="114" fillId="0" borderId="0" xfId="0" applyFont="1" applyFill="1" applyAlignment="1">
      <alignment horizontal="justify" vertical="justify" wrapText="1"/>
    </xf>
    <xf numFmtId="0" fontId="92" fillId="0" borderId="0" xfId="0" applyFont="1" applyAlignment="1">
      <alignment horizontal="justify" vertical="justify" wrapText="1"/>
    </xf>
    <xf numFmtId="2" fontId="32" fillId="0" borderId="0" xfId="0" applyNumberFormat="1" applyFont="1" applyFill="1" applyAlignment="1">
      <alignment horizontal="justify" vertical="top"/>
    </xf>
    <xf numFmtId="0" fontId="35" fillId="7" borderId="0" xfId="0" quotePrefix="1" applyFont="1" applyFill="1" applyAlignment="1">
      <alignment horizontal="center"/>
    </xf>
    <xf numFmtId="0" fontId="35" fillId="7" borderId="0" xfId="0" applyFont="1" applyFill="1" applyAlignment="1">
      <alignment horizontal="center"/>
    </xf>
    <xf numFmtId="0" fontId="35" fillId="0" borderId="0" xfId="0" quotePrefix="1" applyFont="1" applyFill="1" applyBorder="1" applyAlignment="1">
      <alignment horizontal="center" vertical="top"/>
    </xf>
    <xf numFmtId="0" fontId="35" fillId="0" borderId="0" xfId="0" applyFont="1" applyFill="1" applyBorder="1" applyAlignment="1">
      <alignment horizontal="center" vertical="top"/>
    </xf>
    <xf numFmtId="0" fontId="114" fillId="0" borderId="0" xfId="0" quotePrefix="1" applyFont="1" applyFill="1" applyBorder="1" applyAlignment="1" applyProtection="1">
      <alignment horizontal="left" vertical="top" wrapText="1"/>
      <protection locked="0"/>
    </xf>
    <xf numFmtId="0" fontId="114" fillId="0" borderId="0" xfId="0" applyFont="1" applyFill="1" applyBorder="1" applyAlignment="1" applyProtection="1">
      <alignment horizontal="justify" vertical="top"/>
      <protection locked="0"/>
    </xf>
    <xf numFmtId="0" fontId="114" fillId="0" borderId="0" xfId="0" quotePrefix="1" applyFont="1" applyFill="1" applyBorder="1" applyAlignment="1" applyProtection="1">
      <alignment horizontal="justify" vertical="top"/>
      <protection locked="0"/>
    </xf>
    <xf numFmtId="0" fontId="35" fillId="0" borderId="100" xfId="0" applyFont="1" applyFill="1" applyBorder="1" applyAlignment="1">
      <alignment horizontal="center" vertical="top"/>
    </xf>
    <xf numFmtId="0" fontId="35" fillId="0" borderId="0" xfId="0" applyFont="1" applyFill="1" applyAlignment="1">
      <alignment horizontal="center" vertical="top"/>
    </xf>
    <xf numFmtId="16" fontId="35" fillId="0" borderId="100" xfId="0" quotePrefix="1" applyNumberFormat="1" applyFont="1" applyFill="1" applyBorder="1" applyAlignment="1">
      <alignment horizontal="center" vertical="top"/>
    </xf>
    <xf numFmtId="0" fontId="123" fillId="0" borderId="0" xfId="0" applyFont="1" applyFill="1" applyAlignment="1">
      <alignment horizontal="justify" vertical="center"/>
    </xf>
    <xf numFmtId="0" fontId="114" fillId="0" borderId="0" xfId="0" applyFont="1" applyFill="1" applyAlignment="1">
      <alignment horizontal="justify" vertical="center"/>
    </xf>
    <xf numFmtId="0" fontId="114" fillId="0" borderId="0" xfId="0" applyFont="1" applyFill="1" applyBorder="1" applyAlignment="1" applyProtection="1">
      <alignment horizontal="left" vertical="top" wrapText="1"/>
      <protection locked="0"/>
    </xf>
    <xf numFmtId="0" fontId="114" fillId="0" borderId="0" xfId="0" quotePrefix="1" applyFont="1" applyFill="1" applyBorder="1" applyAlignment="1" applyProtection="1">
      <alignment horizontal="left" vertical="top"/>
      <protection locked="0"/>
    </xf>
    <xf numFmtId="0" fontId="193" fillId="0" borderId="0" xfId="193" quotePrefix="1" applyFont="1" applyFill="1" applyAlignment="1">
      <alignment horizontal="justify" vertical="top" wrapText="1"/>
    </xf>
    <xf numFmtId="0" fontId="193" fillId="0" borderId="0" xfId="193" applyFont="1" applyFill="1" applyAlignment="1">
      <alignment horizontal="justify" vertical="top" wrapText="1"/>
    </xf>
    <xf numFmtId="0" fontId="114" fillId="0" borderId="0" xfId="0" quotePrefix="1" applyFont="1" applyFill="1" applyAlignment="1" applyProtection="1">
      <alignment horizontal="justify" vertical="top"/>
    </xf>
    <xf numFmtId="0" fontId="114" fillId="0" borderId="0" xfId="0" applyFont="1" applyFill="1" applyAlignment="1" applyProtection="1">
      <alignment horizontal="justify" vertical="top"/>
    </xf>
    <xf numFmtId="166" fontId="114" fillId="0" borderId="102" xfId="0" applyNumberFormat="1" applyFont="1" applyFill="1" applyBorder="1" applyAlignment="1">
      <alignment horizontal="center" vertical="top" wrapText="1"/>
    </xf>
    <xf numFmtId="166" fontId="114" fillId="0" borderId="0" xfId="0" applyNumberFormat="1" applyFont="1" applyFill="1" applyBorder="1" applyAlignment="1">
      <alignment horizontal="center" vertical="top" wrapText="1"/>
    </xf>
    <xf numFmtId="0" fontId="193" fillId="0" borderId="0" xfId="193" applyFont="1" applyFill="1" applyAlignment="1">
      <alignment horizontal="justify" vertical="justify" wrapText="1"/>
    </xf>
    <xf numFmtId="0" fontId="92" fillId="0" borderId="0" xfId="0" applyFont="1" applyAlignment="1">
      <alignment horizontal="justify" vertical="top" wrapText="1"/>
    </xf>
    <xf numFmtId="0" fontId="32" fillId="0" borderId="0" xfId="0" applyFont="1" applyAlignment="1">
      <alignment horizontal="justify" vertical="justify" wrapText="1"/>
    </xf>
    <xf numFmtId="166" fontId="35" fillId="0" borderId="102" xfId="0" applyNumberFormat="1" applyFont="1" applyFill="1" applyBorder="1" applyAlignment="1">
      <alignment horizontal="center" vertical="top" wrapText="1"/>
    </xf>
    <xf numFmtId="166" fontId="35" fillId="0" borderId="0" xfId="0" applyNumberFormat="1" applyFont="1" applyFill="1" applyBorder="1" applyAlignment="1">
      <alignment horizontal="center" vertical="top" wrapText="1"/>
    </xf>
    <xf numFmtId="0" fontId="118" fillId="0" borderId="0" xfId="0" quotePrefix="1" applyFont="1" applyFill="1" applyAlignment="1">
      <alignment horizontal="center"/>
    </xf>
    <xf numFmtId="0" fontId="118" fillId="0" borderId="0" xfId="0" applyFont="1" applyFill="1"/>
    <xf numFmtId="0" fontId="129" fillId="0" borderId="0" xfId="0" quotePrefix="1" applyFont="1" applyFill="1" applyAlignment="1">
      <alignment horizontal="center"/>
    </xf>
    <xf numFmtId="0" fontId="35" fillId="0" borderId="0" xfId="0" applyFont="1" applyFill="1" applyAlignment="1">
      <alignment horizontal="center" vertical="center"/>
    </xf>
    <xf numFmtId="166" fontId="35" fillId="0" borderId="0" xfId="0" applyNumberFormat="1" applyFont="1" applyFill="1" applyAlignment="1">
      <alignment horizontal="center" vertical="top"/>
    </xf>
    <xf numFmtId="0" fontId="129" fillId="0" borderId="0" xfId="0" quotePrefix="1" applyFont="1" applyFill="1" applyBorder="1" applyAlignment="1">
      <alignment horizontal="center" vertical="center"/>
    </xf>
    <xf numFmtId="0" fontId="132" fillId="0" borderId="0" xfId="0" applyFont="1" applyFill="1" applyAlignment="1">
      <alignment horizontal="justify" vertical="top"/>
    </xf>
    <xf numFmtId="166" fontId="35" fillId="0" borderId="0" xfId="0" quotePrefix="1" applyNumberFormat="1" applyFont="1" applyFill="1" applyAlignment="1">
      <alignment horizontal="center" vertical="top"/>
    </xf>
    <xf numFmtId="0" fontId="35" fillId="2" borderId="0" xfId="0" applyFont="1" applyFill="1" applyBorder="1" applyAlignment="1">
      <alignment horizontal="center" vertical="center" wrapText="1"/>
    </xf>
    <xf numFmtId="10" fontId="35" fillId="0" borderId="102" xfId="0" quotePrefix="1" applyNumberFormat="1" applyFont="1" applyFill="1" applyBorder="1" applyAlignment="1">
      <alignment horizontal="right" vertical="center"/>
    </xf>
    <xf numFmtId="0" fontId="35" fillId="0" borderId="14" xfId="0" applyNumberFormat="1" applyFont="1" applyFill="1" applyBorder="1" applyAlignment="1">
      <alignment horizontal="center" vertical="center" wrapText="1"/>
    </xf>
    <xf numFmtId="0" fontId="35" fillId="0" borderId="15" xfId="0" applyNumberFormat="1" applyFont="1" applyFill="1" applyBorder="1" applyAlignment="1">
      <alignment horizontal="center" vertical="center" wrapText="1"/>
    </xf>
    <xf numFmtId="0" fontId="35" fillId="0" borderId="16" xfId="0" applyNumberFormat="1" applyFont="1" applyFill="1" applyBorder="1" applyAlignment="1">
      <alignment horizontal="center" vertical="center" wrapText="1"/>
    </xf>
    <xf numFmtId="0" fontId="35" fillId="0" borderId="17" xfId="0" applyNumberFormat="1" applyFont="1" applyFill="1" applyBorder="1" applyAlignment="1">
      <alignment horizontal="center" vertical="center" wrapText="1"/>
    </xf>
    <xf numFmtId="0" fontId="35" fillId="0" borderId="18" xfId="0" applyNumberFormat="1" applyFont="1" applyFill="1" applyBorder="1" applyAlignment="1">
      <alignment horizontal="center" vertical="center" wrapText="1"/>
    </xf>
    <xf numFmtId="0" fontId="35" fillId="0" borderId="19" xfId="0" applyNumberFormat="1" applyFont="1" applyFill="1" applyBorder="1" applyAlignment="1">
      <alignment horizontal="center" vertical="center" wrapText="1"/>
    </xf>
    <xf numFmtId="166" fontId="114" fillId="0" borderId="16" xfId="1" applyNumberFormat="1" applyFont="1" applyFill="1" applyBorder="1" applyAlignment="1">
      <alignment horizontal="center" vertical="center" wrapText="1"/>
    </xf>
    <xf numFmtId="179" fontId="118" fillId="0" borderId="2" xfId="0" applyNumberFormat="1" applyFont="1" applyFill="1" applyBorder="1" applyAlignment="1">
      <alignment horizontal="center" vertical="center" wrapText="1"/>
    </xf>
    <xf numFmtId="179" fontId="118" fillId="0" borderId="3" xfId="0" applyNumberFormat="1" applyFont="1" applyFill="1" applyBorder="1" applyAlignment="1">
      <alignment horizontal="center" vertical="center" wrapText="1"/>
    </xf>
    <xf numFmtId="179" fontId="118" fillId="0" borderId="4" xfId="0" applyNumberFormat="1" applyFont="1" applyFill="1" applyBorder="1" applyAlignment="1">
      <alignment horizontal="center" vertical="center" wrapText="1"/>
    </xf>
    <xf numFmtId="179" fontId="35" fillId="0" borderId="2" xfId="0" applyNumberFormat="1" applyFont="1" applyFill="1" applyBorder="1" applyAlignment="1">
      <alignment horizontal="center" vertical="center" wrapText="1"/>
    </xf>
    <xf numFmtId="179" fontId="35" fillId="0" borderId="3" xfId="0" applyNumberFormat="1" applyFont="1" applyFill="1" applyBorder="1" applyAlignment="1">
      <alignment horizontal="center" vertical="center" wrapText="1"/>
    </xf>
    <xf numFmtId="179" fontId="35" fillId="0" borderId="4" xfId="0" applyNumberFormat="1" applyFont="1" applyFill="1" applyBorder="1" applyAlignment="1">
      <alignment horizontal="center" vertical="center" wrapText="1"/>
    </xf>
    <xf numFmtId="0" fontId="35" fillId="0" borderId="8" xfId="0" quotePrefix="1" applyFont="1" applyFill="1" applyBorder="1" applyAlignment="1">
      <alignment horizontal="center" vertical="center"/>
    </xf>
    <xf numFmtId="0" fontId="35" fillId="0" borderId="11" xfId="0" applyNumberFormat="1" applyFont="1" applyFill="1" applyBorder="1" applyAlignment="1">
      <alignment horizontal="center" vertical="center" wrapText="1"/>
    </xf>
    <xf numFmtId="0" fontId="35" fillId="0" borderId="12" xfId="0" applyNumberFormat="1" applyFont="1" applyFill="1" applyBorder="1" applyAlignment="1">
      <alignment horizontal="center" vertical="center" wrapText="1"/>
    </xf>
    <xf numFmtId="0" fontId="35" fillId="0" borderId="13" xfId="0" applyNumberFormat="1" applyFont="1" applyFill="1" applyBorder="1" applyAlignment="1">
      <alignment horizontal="center" vertical="center" wrapText="1"/>
    </xf>
    <xf numFmtId="10" fontId="35" fillId="0" borderId="2" xfId="0" applyNumberFormat="1" applyFont="1" applyFill="1" applyBorder="1" applyAlignment="1">
      <alignment horizontal="right" vertical="center" wrapText="1"/>
    </xf>
    <xf numFmtId="10" fontId="35" fillId="0" borderId="3" xfId="0" applyNumberFormat="1" applyFont="1" applyFill="1" applyBorder="1" applyAlignment="1">
      <alignment horizontal="right" vertical="center" wrapText="1"/>
    </xf>
    <xf numFmtId="10" fontId="35" fillId="0" borderId="4" xfId="0" applyNumberFormat="1" applyFont="1" applyFill="1" applyBorder="1" applyAlignment="1">
      <alignment horizontal="right"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149" fillId="0" borderId="0" xfId="0" quotePrefix="1" applyFont="1" applyFill="1" applyBorder="1" applyAlignment="1">
      <alignment horizontal="center" vertical="center"/>
    </xf>
    <xf numFmtId="0" fontId="149" fillId="0" borderId="0" xfId="0" applyFont="1" applyFill="1" applyBorder="1" applyAlignment="1">
      <alignment horizontal="center" vertical="center"/>
    </xf>
    <xf numFmtId="0" fontId="139" fillId="0" borderId="14" xfId="0" applyNumberFormat="1" applyFont="1" applyFill="1" applyBorder="1" applyAlignment="1">
      <alignment horizontal="center" vertical="center" wrapText="1"/>
    </xf>
    <xf numFmtId="0" fontId="139" fillId="0" borderId="18" xfId="0" applyNumberFormat="1" applyFont="1" applyFill="1" applyBorder="1" applyAlignment="1">
      <alignment horizontal="center" vertical="center" wrapText="1"/>
    </xf>
    <xf numFmtId="0" fontId="139" fillId="0" borderId="10" xfId="0" applyNumberFormat="1" applyFont="1" applyFill="1" applyBorder="1" applyAlignment="1">
      <alignment horizontal="center" vertical="center" wrapText="1"/>
    </xf>
    <xf numFmtId="0" fontId="139" fillId="0" borderId="104" xfId="0" applyNumberFormat="1" applyFont="1" applyFill="1" applyBorder="1" applyAlignment="1">
      <alignment horizontal="center" vertical="center"/>
    </xf>
    <xf numFmtId="0" fontId="84" fillId="0" borderId="4" xfId="0" applyFont="1" applyFill="1" applyBorder="1" applyAlignment="1">
      <alignment horizontal="center" vertical="center"/>
    </xf>
    <xf numFmtId="0" fontId="139" fillId="0" borderId="104" xfId="0" applyNumberFormat="1" applyFont="1" applyFill="1" applyBorder="1" applyAlignment="1">
      <alignment horizontal="center" vertical="center" wrapText="1"/>
    </xf>
    <xf numFmtId="0" fontId="84" fillId="0" borderId="4" xfId="0" applyFont="1" applyFill="1" applyBorder="1" applyAlignment="1">
      <alignment horizontal="center" vertical="center" wrapText="1"/>
    </xf>
    <xf numFmtId="0" fontId="139" fillId="0" borderId="11" xfId="0" applyNumberFormat="1" applyFont="1" applyFill="1" applyBorder="1" applyAlignment="1">
      <alignment horizontal="center" vertical="center"/>
    </xf>
    <xf numFmtId="0" fontId="139" fillId="0" borderId="101" xfId="0" applyNumberFormat="1" applyFont="1" applyFill="1" applyBorder="1" applyAlignment="1">
      <alignment horizontal="center" vertical="center"/>
    </xf>
    <xf numFmtId="0" fontId="139" fillId="0" borderId="13" xfId="0" applyNumberFormat="1" applyFont="1" applyFill="1" applyBorder="1" applyAlignment="1">
      <alignment horizontal="center" vertical="center"/>
    </xf>
    <xf numFmtId="0" fontId="139" fillId="0" borderId="102" xfId="0" quotePrefix="1" applyFont="1" applyFill="1" applyBorder="1" applyAlignment="1">
      <alignment horizontal="center" vertical="center"/>
    </xf>
    <xf numFmtId="0" fontId="139" fillId="0" borderId="10" xfId="0" applyNumberFormat="1" applyFont="1" applyFill="1" applyBorder="1" applyAlignment="1">
      <alignment horizontal="center" vertical="center"/>
    </xf>
    <xf numFmtId="0" fontId="137" fillId="0" borderId="11" xfId="0" applyNumberFormat="1" applyFont="1" applyFill="1" applyBorder="1" applyAlignment="1">
      <alignment horizontal="center"/>
    </xf>
    <xf numFmtId="0" fontId="140" fillId="0" borderId="101" xfId="0" applyNumberFormat="1" applyFont="1" applyFill="1" applyBorder="1" applyAlignment="1">
      <alignment horizontal="center"/>
    </xf>
    <xf numFmtId="0" fontId="140" fillId="0" borderId="13" xfId="0" applyNumberFormat="1" applyFont="1" applyFill="1" applyBorder="1" applyAlignment="1">
      <alignment horizontal="center"/>
    </xf>
    <xf numFmtId="0" fontId="137" fillId="0" borderId="103" xfId="0" applyNumberFormat="1" applyFont="1" applyFill="1" applyBorder="1" applyAlignment="1">
      <alignment horizontal="center" vertical="center"/>
    </xf>
    <xf numFmtId="0" fontId="137" fillId="0" borderId="16" xfId="0" applyNumberFormat="1" applyFont="1" applyFill="1" applyBorder="1" applyAlignment="1">
      <alignment horizontal="center" vertical="center"/>
    </xf>
    <xf numFmtId="0" fontId="137" fillId="0" borderId="18" xfId="0" applyNumberFormat="1" applyFont="1" applyFill="1" applyBorder="1" applyAlignment="1">
      <alignment horizontal="center" vertical="center"/>
    </xf>
    <xf numFmtId="0" fontId="137" fillId="0" borderId="11" xfId="0" applyNumberFormat="1" applyFont="1" applyFill="1" applyBorder="1" applyAlignment="1">
      <alignment horizontal="center" vertical="center"/>
    </xf>
    <xf numFmtId="0" fontId="137" fillId="0" borderId="12" xfId="0" applyNumberFormat="1" applyFont="1" applyFill="1" applyBorder="1" applyAlignment="1">
      <alignment horizontal="center" vertical="center"/>
    </xf>
    <xf numFmtId="0" fontId="137" fillId="0" borderId="13" xfId="0" applyNumberFormat="1" applyFont="1" applyFill="1" applyBorder="1" applyAlignment="1">
      <alignment horizontal="center" vertical="center"/>
    </xf>
    <xf numFmtId="0" fontId="137" fillId="0" borderId="104" xfId="0" applyNumberFormat="1" applyFont="1" applyFill="1" applyBorder="1" applyAlignment="1" applyProtection="1">
      <alignment horizontal="center" vertical="center" wrapText="1"/>
    </xf>
    <xf numFmtId="0" fontId="137" fillId="0" borderId="3" xfId="0" applyNumberFormat="1" applyFont="1" applyFill="1" applyBorder="1" applyAlignment="1" applyProtection="1">
      <alignment horizontal="center" vertical="center" wrapText="1"/>
    </xf>
    <xf numFmtId="0" fontId="137" fillId="0" borderId="4" xfId="0" applyNumberFormat="1" applyFont="1" applyFill="1" applyBorder="1" applyAlignment="1" applyProtection="1">
      <alignment horizontal="center" vertical="center" wrapText="1"/>
    </xf>
    <xf numFmtId="0" fontId="137" fillId="0" borderId="105" xfId="0" applyNumberFormat="1" applyFont="1" applyFill="1" applyBorder="1" applyAlignment="1" applyProtection="1">
      <alignment horizontal="center" vertical="center" wrapText="1"/>
    </xf>
    <xf numFmtId="0" fontId="137" fillId="0" borderId="17" xfId="0" applyNumberFormat="1" applyFont="1" applyFill="1" applyBorder="1" applyAlignment="1" applyProtection="1">
      <alignment horizontal="center" vertical="center" wrapText="1"/>
    </xf>
    <xf numFmtId="0" fontId="137" fillId="0" borderId="19" xfId="0" applyNumberFormat="1" applyFont="1" applyFill="1" applyBorder="1" applyAlignment="1" applyProtection="1">
      <alignment horizontal="center" vertical="center" wrapText="1"/>
    </xf>
    <xf numFmtId="0" fontId="137" fillId="0" borderId="2" xfId="0" applyNumberFormat="1" applyFont="1" applyFill="1" applyBorder="1" applyAlignment="1" applyProtection="1">
      <alignment horizontal="center" vertical="center" wrapText="1"/>
    </xf>
    <xf numFmtId="0" fontId="114" fillId="0" borderId="0" xfId="0" applyFont="1" applyFill="1" applyBorder="1" applyAlignment="1">
      <alignment horizontal="center"/>
    </xf>
    <xf numFmtId="0" fontId="140" fillId="0" borderId="0" xfId="0" quotePrefix="1" applyNumberFormat="1" applyFont="1" applyFill="1" applyBorder="1" applyAlignment="1">
      <alignment horizontal="center" vertical="center"/>
    </xf>
    <xf numFmtId="0" fontId="140" fillId="0" borderId="0" xfId="0" applyNumberFormat="1" applyFont="1" applyFill="1" applyBorder="1" applyAlignment="1">
      <alignment horizontal="center" vertical="center"/>
    </xf>
    <xf numFmtId="0" fontId="137" fillId="0" borderId="0" xfId="0" quotePrefix="1" applyNumberFormat="1" applyFont="1" applyFill="1" applyBorder="1" applyAlignment="1">
      <alignment horizontal="center"/>
    </xf>
    <xf numFmtId="0" fontId="137" fillId="0" borderId="10" xfId="151" applyNumberFormat="1" applyFont="1" applyFill="1" applyBorder="1" applyAlignment="1">
      <alignment horizontal="center" vertical="center" wrapText="1"/>
    </xf>
    <xf numFmtId="0" fontId="138" fillId="0" borderId="10" xfId="153" applyNumberFormat="1" applyFont="1" applyFill="1" applyBorder="1" applyAlignment="1">
      <alignment vertical="center" wrapText="1"/>
    </xf>
    <xf numFmtId="0" fontId="137" fillId="0" borderId="10" xfId="151" applyNumberFormat="1" applyFont="1" applyFill="1" applyBorder="1" applyAlignment="1">
      <alignment vertical="center"/>
    </xf>
    <xf numFmtId="0" fontId="137" fillId="0" borderId="10" xfId="152" applyNumberFormat="1" applyFont="1" applyFill="1" applyBorder="1" applyAlignment="1">
      <alignment horizontal="center" vertical="center" wrapText="1"/>
    </xf>
    <xf numFmtId="0" fontId="138" fillId="0" borderId="10" xfId="152" applyNumberFormat="1" applyFont="1" applyFill="1" applyBorder="1" applyAlignment="1">
      <alignment vertical="center" wrapText="1"/>
    </xf>
    <xf numFmtId="0" fontId="118" fillId="0" borderId="14" xfId="0" applyFont="1" applyFill="1" applyBorder="1" applyAlignment="1">
      <alignment horizontal="center" vertical="center"/>
    </xf>
    <xf numFmtId="0" fontId="118" fillId="0" borderId="18" xfId="0" applyFont="1" applyFill="1" applyBorder="1" applyAlignment="1">
      <alignment horizontal="center" vertical="center"/>
    </xf>
    <xf numFmtId="0" fontId="118" fillId="0" borderId="2" xfId="0" applyFont="1" applyFill="1" applyBorder="1" applyAlignment="1">
      <alignment horizontal="center" vertical="center"/>
    </xf>
    <xf numFmtId="0" fontId="118" fillId="0" borderId="4" xfId="0" applyFont="1" applyFill="1" applyBorder="1" applyAlignment="1">
      <alignment horizontal="center" vertical="center"/>
    </xf>
    <xf numFmtId="166" fontId="141" fillId="0" borderId="0" xfId="0" quotePrefix="1" applyNumberFormat="1" applyFont="1" applyFill="1" applyBorder="1" applyAlignment="1">
      <alignment horizontal="center"/>
    </xf>
    <xf numFmtId="166" fontId="141" fillId="0" borderId="0" xfId="0" applyNumberFormat="1" applyFont="1" applyFill="1" applyBorder="1" applyAlignment="1">
      <alignment horizontal="center"/>
    </xf>
    <xf numFmtId="165" fontId="141" fillId="0" borderId="10" xfId="0" applyNumberFormat="1" applyFont="1" applyFill="1" applyBorder="1" applyAlignment="1">
      <alignment horizontal="center" vertical="center"/>
    </xf>
    <xf numFmtId="0" fontId="140" fillId="0" borderId="10" xfId="0" applyFont="1" applyFill="1" applyBorder="1" applyAlignment="1">
      <alignment horizontal="center" vertical="center"/>
    </xf>
    <xf numFmtId="166" fontId="141" fillId="0" borderId="10" xfId="0" applyNumberFormat="1" applyFont="1" applyFill="1" applyBorder="1" applyAlignment="1">
      <alignment horizontal="center" vertical="center"/>
    </xf>
    <xf numFmtId="165" fontId="141" fillId="0" borderId="10" xfId="0" applyNumberFormat="1" applyFont="1" applyFill="1" applyBorder="1" applyAlignment="1">
      <alignment horizontal="center" vertical="center" wrapText="1"/>
    </xf>
    <xf numFmtId="165" fontId="141" fillId="0" borderId="10" xfId="0" applyNumberFormat="1" applyFont="1" applyFill="1" applyBorder="1" applyAlignment="1" applyProtection="1">
      <alignment horizontal="center" vertical="center" wrapText="1"/>
    </xf>
    <xf numFmtId="49" fontId="141" fillId="0" borderId="10" xfId="0" applyNumberFormat="1" applyFont="1" applyFill="1" applyBorder="1" applyAlignment="1" applyProtection="1">
      <alignment horizontal="center" vertical="center" wrapText="1"/>
    </xf>
    <xf numFmtId="0" fontId="118" fillId="0" borderId="2" xfId="0" applyNumberFormat="1" applyFont="1" applyFill="1" applyBorder="1" applyAlignment="1">
      <alignment horizontal="center" vertical="center" wrapText="1"/>
    </xf>
    <xf numFmtId="0" fontId="118" fillId="0" borderId="4" xfId="0" applyNumberFormat="1" applyFont="1" applyFill="1" applyBorder="1" applyAlignment="1">
      <alignment horizontal="center" vertical="center" wrapText="1"/>
    </xf>
    <xf numFmtId="0" fontId="118" fillId="0" borderId="8" xfId="0" quotePrefix="1" applyFont="1" applyFill="1" applyBorder="1" applyAlignment="1">
      <alignment horizontal="center" vertical="center"/>
    </xf>
    <xf numFmtId="0" fontId="32" fillId="0" borderId="8" xfId="0" quotePrefix="1" applyFont="1" applyFill="1" applyBorder="1" applyAlignment="1">
      <alignment horizontal="center" vertical="center"/>
    </xf>
    <xf numFmtId="0" fontId="118" fillId="0" borderId="11" xfId="0" applyFont="1" applyFill="1" applyBorder="1" applyAlignment="1">
      <alignment horizontal="center" vertical="center"/>
    </xf>
    <xf numFmtId="0" fontId="118" fillId="0" borderId="12" xfId="0" applyFont="1" applyFill="1" applyBorder="1" applyAlignment="1">
      <alignment horizontal="center" vertical="center"/>
    </xf>
    <xf numFmtId="0" fontId="118" fillId="0" borderId="13" xfId="0" applyFont="1" applyFill="1" applyBorder="1" applyAlignment="1">
      <alignment horizontal="center" vertical="center"/>
    </xf>
    <xf numFmtId="0" fontId="118" fillId="0" borderId="14" xfId="0" applyNumberFormat="1" applyFont="1" applyFill="1" applyBorder="1" applyAlignment="1">
      <alignment horizontal="center" vertical="center" wrapText="1"/>
    </xf>
    <xf numFmtId="0" fontId="118" fillId="0" borderId="18" xfId="0" applyNumberFormat="1" applyFont="1" applyFill="1" applyBorder="1" applyAlignment="1">
      <alignment horizontal="center" vertical="center" wrapText="1"/>
    </xf>
    <xf numFmtId="166" fontId="9" fillId="0" borderId="0" xfId="0" applyNumberFormat="1" applyFont="1" applyFill="1" applyAlignment="1" applyProtection="1">
      <alignment horizontal="center" vertical="center"/>
    </xf>
    <xf numFmtId="166" fontId="9" fillId="0" borderId="0" xfId="0" applyNumberFormat="1" applyFont="1" applyFill="1" applyAlignment="1">
      <alignment horizontal="center"/>
    </xf>
    <xf numFmtId="0" fontId="9" fillId="0" borderId="0" xfId="0" applyFont="1" applyFill="1" applyAlignment="1">
      <alignment horizontal="justify" vertical="top" wrapText="1"/>
    </xf>
    <xf numFmtId="37" fontId="9" fillId="0" borderId="0" xfId="0" applyNumberFormat="1" applyFont="1" applyFill="1" applyAlignment="1" applyProtection="1">
      <alignment horizontal="justify" vertical="top" wrapText="1"/>
    </xf>
    <xf numFmtId="0" fontId="9" fillId="0" borderId="0" xfId="0" applyNumberFormat="1" applyFont="1" applyFill="1" applyBorder="1" applyAlignment="1">
      <alignment horizontal="left" wrapText="1"/>
    </xf>
    <xf numFmtId="0" fontId="9" fillId="0" borderId="0" xfId="0" applyNumberFormat="1" applyFont="1" applyFill="1" applyAlignment="1">
      <alignment horizontal="justify" vertical="top" wrapText="1"/>
    </xf>
    <xf numFmtId="0" fontId="74" fillId="0" borderId="0" xfId="0" applyFont="1" applyFill="1" applyAlignment="1">
      <alignment horizontal="justify" vertical="top" wrapText="1"/>
    </xf>
    <xf numFmtId="0" fontId="72" fillId="0" borderId="0" xfId="0" applyFont="1" applyAlignment="1">
      <alignment horizontal="justify" vertical="top" wrapText="1"/>
    </xf>
    <xf numFmtId="0" fontId="72" fillId="0" borderId="0" xfId="0" applyFont="1" applyFill="1" applyAlignment="1">
      <alignment horizontal="justify" vertical="top" wrapText="1"/>
    </xf>
    <xf numFmtId="0" fontId="73" fillId="0" borderId="0" xfId="0" quotePrefix="1" applyFont="1" applyFill="1" applyAlignment="1">
      <alignment horizontal="center" vertical="top"/>
    </xf>
    <xf numFmtId="0" fontId="137" fillId="0" borderId="2" xfId="0" applyFont="1" applyFill="1" applyBorder="1" applyAlignment="1">
      <alignment horizontal="center" vertical="center" wrapText="1"/>
    </xf>
    <xf numFmtId="0" fontId="137" fillId="0" borderId="3" xfId="0" applyFont="1" applyFill="1" applyBorder="1" applyAlignment="1">
      <alignment horizontal="center" vertical="center" wrapText="1"/>
    </xf>
    <xf numFmtId="0" fontId="137" fillId="0" borderId="4" xfId="0" applyFont="1" applyFill="1" applyBorder="1" applyAlignment="1">
      <alignment horizontal="center" vertical="center" wrapText="1"/>
    </xf>
    <xf numFmtId="0" fontId="137" fillId="0" borderId="14" xfId="0" applyFont="1" applyFill="1" applyBorder="1" applyAlignment="1">
      <alignment horizontal="center" vertical="center" wrapText="1"/>
    </xf>
    <xf numFmtId="0" fontId="137" fillId="0" borderId="16" xfId="0" applyFont="1" applyFill="1" applyBorder="1" applyAlignment="1">
      <alignment horizontal="center" vertical="center" wrapText="1"/>
    </xf>
    <xf numFmtId="0" fontId="137" fillId="0" borderId="18" xfId="0" applyFont="1" applyFill="1" applyBorder="1" applyAlignment="1">
      <alignment horizontal="center" vertical="center" wrapText="1"/>
    </xf>
    <xf numFmtId="166" fontId="131" fillId="0" borderId="102" xfId="0" quotePrefix="1" applyNumberFormat="1" applyFont="1" applyFill="1" applyBorder="1" applyAlignment="1">
      <alignment horizontal="center" vertical="center"/>
    </xf>
    <xf numFmtId="166" fontId="131" fillId="0" borderId="102" xfId="0" applyNumberFormat="1" applyFont="1" applyFill="1" applyBorder="1" applyAlignment="1">
      <alignment horizontal="center" vertical="center"/>
    </xf>
    <xf numFmtId="0" fontId="137" fillId="0" borderId="103" xfId="0" applyFont="1" applyFill="1" applyBorder="1" applyAlignment="1">
      <alignment horizontal="center" vertical="center"/>
    </xf>
    <xf numFmtId="0" fontId="140" fillId="0" borderId="102" xfId="0" applyFont="1" applyFill="1" applyBorder="1" applyAlignment="1">
      <alignment horizontal="center" vertical="center"/>
    </xf>
    <xf numFmtId="0" fontId="140" fillId="0" borderId="105" xfId="0" applyFont="1" applyFill="1" applyBorder="1" applyAlignment="1">
      <alignment horizontal="center" vertical="center"/>
    </xf>
    <xf numFmtId="0" fontId="137" fillId="0" borderId="16" xfId="0" applyFont="1" applyFill="1" applyBorder="1" applyAlignment="1">
      <alignment horizontal="center" vertical="center"/>
    </xf>
    <xf numFmtId="0" fontId="140" fillId="0" borderId="0" xfId="0" applyFont="1" applyFill="1" applyBorder="1" applyAlignment="1">
      <alignment horizontal="center" vertical="center"/>
    </xf>
    <xf numFmtId="0" fontId="140" fillId="0" borderId="17" xfId="0" applyFont="1" applyFill="1" applyBorder="1" applyAlignment="1">
      <alignment horizontal="center" vertical="center"/>
    </xf>
    <xf numFmtId="0" fontId="140" fillId="0" borderId="16" xfId="0" applyFont="1" applyFill="1" applyBorder="1" applyAlignment="1">
      <alignment horizontal="center" vertical="center"/>
    </xf>
    <xf numFmtId="0" fontId="140" fillId="0" borderId="0" xfId="0" applyFont="1" applyFill="1" applyAlignment="1">
      <alignment horizontal="center" vertical="center"/>
    </xf>
    <xf numFmtId="0" fontId="140" fillId="0" borderId="18" xfId="0" applyFont="1" applyFill="1" applyBorder="1" applyAlignment="1">
      <alignment horizontal="center" vertical="center"/>
    </xf>
    <xf numFmtId="0" fontId="140" fillId="0" borderId="100" xfId="0" applyFont="1" applyFill="1" applyBorder="1" applyAlignment="1">
      <alignment horizontal="center" vertical="center"/>
    </xf>
    <xf numFmtId="0" fontId="140" fillId="0" borderId="19" xfId="0" applyFont="1" applyFill="1" applyBorder="1" applyAlignment="1">
      <alignment horizontal="center" vertical="center"/>
    </xf>
    <xf numFmtId="166" fontId="152" fillId="0" borderId="102" xfId="0" quotePrefix="1" applyNumberFormat="1" applyFont="1" applyFill="1" applyBorder="1" applyAlignment="1">
      <alignment horizontal="center" vertical="center"/>
    </xf>
    <xf numFmtId="166" fontId="152" fillId="0" borderId="102" xfId="0" applyNumberFormat="1" applyFont="1" applyFill="1" applyBorder="1" applyAlignment="1">
      <alignment horizontal="center" vertical="center"/>
    </xf>
    <xf numFmtId="0" fontId="35" fillId="0" borderId="0" xfId="0" applyNumberFormat="1" applyFont="1" applyFill="1" applyBorder="1" applyAlignment="1">
      <alignment horizontal="center" vertical="center" wrapText="1"/>
    </xf>
    <xf numFmtId="0" fontId="35" fillId="0" borderId="0" xfId="0" quotePrefix="1" applyFont="1" applyFill="1" applyBorder="1" applyAlignment="1">
      <alignment horizontal="center"/>
    </xf>
    <xf numFmtId="0" fontId="35" fillId="0" borderId="0" xfId="0" quotePrefix="1" applyFont="1" applyFill="1" applyAlignment="1">
      <alignment horizontal="center" vertical="top" wrapText="1"/>
    </xf>
    <xf numFmtId="165" fontId="114" fillId="0" borderId="0" xfId="0" applyNumberFormat="1" applyFont="1" applyFill="1" applyAlignment="1">
      <alignment horizontal="center" vertical="center" wrapText="1"/>
    </xf>
    <xf numFmtId="37" fontId="114" fillId="0" borderId="0" xfId="0" applyNumberFormat="1" applyFont="1" applyFill="1" applyAlignment="1" applyProtection="1">
      <alignment horizontal="justify" vertical="top" wrapText="1"/>
    </xf>
    <xf numFmtId="0" fontId="114" fillId="0" borderId="0" xfId="0" applyNumberFormat="1" applyFont="1" applyFill="1" applyBorder="1" applyAlignment="1">
      <alignment horizontal="center" vertical="center" wrapText="1"/>
    </xf>
    <xf numFmtId="0" fontId="114" fillId="0" borderId="0" xfId="0" applyNumberFormat="1" applyFont="1" applyFill="1" applyBorder="1" applyAlignment="1">
      <alignment horizontal="left" wrapText="1"/>
    </xf>
    <xf numFmtId="165" fontId="35" fillId="0" borderId="0" xfId="0" applyNumberFormat="1" applyFont="1" applyFill="1" applyAlignment="1">
      <alignment wrapText="1"/>
    </xf>
    <xf numFmtId="0" fontId="74" fillId="0" borderId="0" xfId="0" applyNumberFormat="1" applyFont="1" applyFill="1" applyAlignment="1">
      <alignment horizontal="left" vertical="top" wrapText="1"/>
    </xf>
    <xf numFmtId="0" fontId="76" fillId="0" borderId="0" xfId="0" applyFont="1" applyFill="1" applyBorder="1" applyAlignment="1">
      <alignment horizontal="center"/>
    </xf>
    <xf numFmtId="169" fontId="9" fillId="2" borderId="0" xfId="0" applyNumberFormat="1" applyFont="1" applyFill="1" applyAlignment="1">
      <alignment horizontal="left"/>
    </xf>
    <xf numFmtId="0" fontId="75" fillId="2" borderId="0" xfId="0" applyNumberFormat="1" applyFont="1" applyFill="1" applyAlignment="1">
      <alignment horizontal="center" wrapText="1"/>
    </xf>
    <xf numFmtId="0" fontId="9" fillId="2" borderId="0" xfId="0" applyNumberFormat="1" applyFont="1" applyFill="1" applyAlignment="1">
      <alignment horizontal="left" vertical="justify"/>
    </xf>
    <xf numFmtId="16" fontId="76" fillId="0" borderId="0" xfId="0" quotePrefix="1" applyNumberFormat="1" applyFont="1" applyFill="1" applyAlignment="1">
      <alignment horizontal="center"/>
    </xf>
    <xf numFmtId="166" fontId="97" fillId="0" borderId="0" xfId="0" applyNumberFormat="1" applyFont="1" applyFill="1" applyAlignment="1">
      <alignment horizontal="center"/>
    </xf>
    <xf numFmtId="0" fontId="16" fillId="0" borderId="25" xfId="0" applyFont="1" applyFill="1" applyBorder="1" applyAlignment="1">
      <alignment horizontal="center"/>
    </xf>
    <xf numFmtId="0" fontId="16" fillId="0" borderId="26" xfId="0" applyFont="1" applyFill="1" applyBorder="1" applyAlignment="1">
      <alignment horizontal="center"/>
    </xf>
    <xf numFmtId="0" fontId="16" fillId="0" borderId="27" xfId="0" applyFont="1" applyFill="1" applyBorder="1" applyAlignment="1">
      <alignment horizontal="center"/>
    </xf>
    <xf numFmtId="0" fontId="73" fillId="0" borderId="0" xfId="0" applyFont="1" applyFill="1" applyAlignment="1">
      <alignment horizontal="center" vertical="top"/>
    </xf>
    <xf numFmtId="0" fontId="9" fillId="0" borderId="0" xfId="0" applyFont="1" applyFill="1" applyAlignment="1">
      <alignment horizontal="justify" vertical="top"/>
    </xf>
    <xf numFmtId="37" fontId="81" fillId="0" borderId="0" xfId="0" quotePrefix="1" applyNumberFormat="1" applyFont="1" applyFill="1" applyAlignment="1">
      <alignment horizontal="center" vertical="top"/>
    </xf>
    <xf numFmtId="165" fontId="9" fillId="0" borderId="0" xfId="0" applyNumberFormat="1" applyFont="1" applyFill="1" applyAlignment="1">
      <alignment horizontal="justify" vertical="top" wrapText="1"/>
    </xf>
    <xf numFmtId="37" fontId="9" fillId="0" borderId="0" xfId="0" quotePrefix="1" applyNumberFormat="1" applyFont="1" applyFill="1" applyAlignment="1">
      <alignment horizontal="justify"/>
    </xf>
    <xf numFmtId="0" fontId="72" fillId="0" borderId="0" xfId="0" applyFont="1" applyFill="1" applyAlignment="1">
      <alignment horizontal="justify" vertical="top"/>
    </xf>
    <xf numFmtId="37" fontId="9" fillId="0" borderId="0" xfId="0" applyNumberFormat="1" applyFont="1" applyFill="1" applyAlignment="1">
      <alignment horizontal="justify" vertical="top" wrapText="1"/>
    </xf>
    <xf numFmtId="37" fontId="81" fillId="0" borderId="0" xfId="0" quotePrefix="1" applyNumberFormat="1" applyFont="1" applyFill="1" applyBorder="1" applyAlignment="1">
      <alignment horizontal="center" vertical="top"/>
    </xf>
    <xf numFmtId="37" fontId="81" fillId="0" borderId="0" xfId="0" applyNumberFormat="1" applyFont="1" applyFill="1" applyAlignment="1">
      <alignment horizontal="center" vertical="center" wrapText="1"/>
    </xf>
    <xf numFmtId="37" fontId="81" fillId="0" borderId="0" xfId="0" applyNumberFormat="1" applyFont="1" applyFill="1" applyAlignment="1">
      <alignment horizontal="center" vertical="center"/>
    </xf>
    <xf numFmtId="0" fontId="9" fillId="0" borderId="0" xfId="0" applyFont="1" applyFill="1" applyAlignment="1">
      <alignment horizontal="center" vertical="top"/>
    </xf>
    <xf numFmtId="0" fontId="73" fillId="0" borderId="0" xfId="0" quotePrefix="1" applyFont="1" applyFill="1" applyAlignment="1">
      <alignment horizontal="left" vertical="center" wrapText="1"/>
    </xf>
    <xf numFmtId="0" fontId="73" fillId="0" borderId="0" xfId="0" applyFont="1" applyFill="1" applyAlignment="1">
      <alignment horizontal="justify" vertical="top"/>
    </xf>
    <xf numFmtId="1" fontId="73" fillId="0" borderId="0" xfId="0" quotePrefix="1" applyNumberFormat="1" applyFont="1" applyFill="1" applyAlignment="1">
      <alignment horizontal="center" vertical="top"/>
    </xf>
    <xf numFmtId="1" fontId="73" fillId="0" borderId="0" xfId="0" applyNumberFormat="1" applyFont="1" applyFill="1" applyAlignment="1">
      <alignment horizontal="center" vertical="top"/>
    </xf>
    <xf numFmtId="0" fontId="9" fillId="0" borderId="0" xfId="0" quotePrefix="1" applyFont="1" applyFill="1" applyAlignment="1">
      <alignment horizontal="justify" vertical="top" wrapText="1"/>
    </xf>
    <xf numFmtId="37" fontId="9" fillId="0" borderId="0" xfId="0" quotePrefix="1" applyNumberFormat="1" applyFont="1" applyFill="1" applyAlignment="1">
      <alignment horizontal="justify" wrapText="1"/>
    </xf>
    <xf numFmtId="0" fontId="86" fillId="0" borderId="8" xfId="0" applyFont="1" applyFill="1" applyBorder="1" applyAlignment="1">
      <alignment horizontal="center" vertical="center" wrapText="1"/>
    </xf>
    <xf numFmtId="0" fontId="86" fillId="0" borderId="0" xfId="0" applyFont="1" applyFill="1" applyBorder="1" applyAlignment="1">
      <alignment horizontal="center" vertical="center" wrapText="1"/>
    </xf>
    <xf numFmtId="165" fontId="86" fillId="0" borderId="0" xfId="0" quotePrefix="1" applyNumberFormat="1" applyFont="1" applyFill="1" applyAlignment="1">
      <alignment horizontal="center" vertical="center"/>
    </xf>
    <xf numFmtId="0" fontId="86" fillId="0" borderId="9" xfId="0" quotePrefix="1" applyFont="1" applyFill="1" applyBorder="1" applyAlignment="1">
      <alignment horizontal="center"/>
    </xf>
    <xf numFmtId="0" fontId="86" fillId="0" borderId="8" xfId="0" applyFont="1" applyFill="1" applyBorder="1" applyAlignment="1">
      <alignment horizontal="center" vertical="top" wrapText="1"/>
    </xf>
    <xf numFmtId="0" fontId="86" fillId="0" borderId="0" xfId="0" applyFont="1" applyFill="1" applyBorder="1" applyAlignment="1">
      <alignment horizontal="center" vertical="top" wrapText="1"/>
    </xf>
    <xf numFmtId="0" fontId="9" fillId="0" borderId="0" xfId="0" applyFont="1" applyFill="1" applyAlignment="1">
      <alignment horizontal="left" wrapText="1"/>
    </xf>
    <xf numFmtId="0" fontId="9" fillId="0" borderId="0" xfId="0" quotePrefix="1" applyFont="1" applyFill="1" applyAlignment="1">
      <alignment horizontal="center"/>
    </xf>
    <xf numFmtId="37" fontId="9" fillId="0" borderId="0" xfId="0" quotePrefix="1" applyNumberFormat="1" applyFont="1" applyFill="1" applyAlignment="1">
      <alignment horizontal="justify" vertical="top" wrapText="1"/>
    </xf>
    <xf numFmtId="166" fontId="73" fillId="0" borderId="0" xfId="0" quotePrefix="1" applyNumberFormat="1" applyFont="1" applyFill="1" applyAlignment="1">
      <alignment horizontal="center" vertical="top"/>
    </xf>
    <xf numFmtId="0" fontId="74" fillId="0" borderId="0" xfId="0" applyFont="1" applyFill="1" applyAlignment="1">
      <alignment vertical="top"/>
    </xf>
    <xf numFmtId="0" fontId="9" fillId="0" borderId="0" xfId="0" applyFont="1" applyFill="1" applyAlignment="1">
      <alignment vertical="top"/>
    </xf>
    <xf numFmtId="14" fontId="74" fillId="0" borderId="0" xfId="0" applyNumberFormat="1" applyFont="1" applyFill="1" applyAlignment="1">
      <alignment horizontal="justify" vertical="top" wrapText="1"/>
    </xf>
    <xf numFmtId="14" fontId="9" fillId="0" borderId="0" xfId="0" applyNumberFormat="1" applyFont="1" applyFill="1" applyAlignment="1">
      <alignment horizontal="justify" vertical="top" wrapText="1"/>
    </xf>
    <xf numFmtId="0" fontId="74" fillId="0" borderId="0" xfId="0" applyFont="1" applyFill="1" applyAlignment="1">
      <alignment vertical="top" wrapText="1"/>
    </xf>
    <xf numFmtId="0" fontId="9" fillId="0" borderId="0" xfId="0" applyFont="1" applyFill="1" applyAlignment="1">
      <alignment vertical="top" wrapText="1"/>
    </xf>
    <xf numFmtId="0" fontId="73" fillId="0" borderId="0" xfId="0" quotePrefix="1" applyFont="1" applyFill="1" applyAlignment="1">
      <alignment horizontal="center"/>
    </xf>
    <xf numFmtId="11" fontId="9" fillId="0" borderId="0" xfId="0" applyNumberFormat="1" applyFont="1" applyFill="1" applyAlignment="1">
      <alignment horizontal="justify" vertical="top" wrapText="1"/>
    </xf>
    <xf numFmtId="11" fontId="74" fillId="0" borderId="0" xfId="0" applyNumberFormat="1" applyFont="1" applyFill="1" applyAlignment="1">
      <alignment horizontal="justify" vertical="top" wrapText="1"/>
    </xf>
    <xf numFmtId="0" fontId="129" fillId="0" borderId="100" xfId="0" applyFont="1" applyFill="1" applyBorder="1" applyAlignment="1">
      <alignment horizontal="center"/>
    </xf>
    <xf numFmtId="0" fontId="129" fillId="0" borderId="0" xfId="0" applyFont="1" applyFill="1" applyBorder="1" applyAlignment="1">
      <alignment horizontal="center"/>
    </xf>
    <xf numFmtId="0" fontId="137" fillId="0" borderId="104" xfId="0" applyNumberFormat="1" applyFont="1" applyFill="1" applyBorder="1" applyAlignment="1">
      <alignment horizontal="center" vertical="center" wrapText="1"/>
    </xf>
    <xf numFmtId="0" fontId="137" fillId="0" borderId="3" xfId="0" applyNumberFormat="1" applyFont="1" applyFill="1" applyBorder="1" applyAlignment="1">
      <alignment horizontal="center" vertical="center" wrapText="1"/>
    </xf>
    <xf numFmtId="0" fontId="137" fillId="0" borderId="4" xfId="0" applyNumberFormat="1" applyFont="1" applyFill="1" applyBorder="1" applyAlignment="1">
      <alignment horizontal="center" vertical="center" wrapText="1"/>
    </xf>
    <xf numFmtId="0" fontId="137" fillId="0" borderId="10" xfId="0" applyNumberFormat="1" applyFont="1" applyFill="1" applyBorder="1" applyAlignment="1">
      <alignment horizontal="center" vertical="center" wrapText="1"/>
    </xf>
    <xf numFmtId="0" fontId="141" fillId="0" borderId="102" xfId="0" quotePrefix="1" applyFont="1" applyFill="1" applyBorder="1" applyAlignment="1">
      <alignment horizontal="center"/>
    </xf>
    <xf numFmtId="0" fontId="140" fillId="0" borderId="102" xfId="0" applyFont="1" applyFill="1" applyBorder="1" applyAlignment="1">
      <alignment horizontal="center"/>
    </xf>
    <xf numFmtId="0" fontId="137" fillId="0" borderId="0" xfId="0" quotePrefix="1" applyFont="1" applyFill="1" applyAlignment="1">
      <alignment horizontal="center"/>
    </xf>
    <xf numFmtId="0" fontId="185" fillId="52" borderId="0" xfId="0" applyFont="1" applyFill="1" applyAlignment="1">
      <alignment horizontal="right" vertical="top" wrapText="1" readingOrder="1"/>
    </xf>
    <xf numFmtId="0" fontId="182" fillId="52" borderId="0" xfId="0" applyFont="1" applyFill="1" applyAlignment="1">
      <alignment horizontal="left" vertical="top" wrapText="1" readingOrder="1"/>
    </xf>
    <xf numFmtId="0" fontId="183" fillId="52" borderId="0" xfId="0" applyFont="1" applyFill="1" applyAlignment="1">
      <alignment horizontal="right" vertical="top" wrapText="1" readingOrder="1"/>
    </xf>
    <xf numFmtId="0" fontId="181" fillId="52" borderId="0" xfId="0" applyFont="1" applyFill="1" applyAlignment="1">
      <alignment horizontal="left" vertical="top" wrapText="1" readingOrder="1"/>
    </xf>
    <xf numFmtId="0" fontId="0" fillId="51" borderId="0" xfId="0" applyFill="1" applyAlignment="1">
      <alignment horizontal="left" vertical="top" wrapText="1" readingOrder="1"/>
    </xf>
    <xf numFmtId="0" fontId="184" fillId="51" borderId="0" xfId="0" applyFont="1" applyFill="1" applyAlignment="1">
      <alignment horizontal="right" vertical="top" wrapText="1" readingOrder="1"/>
    </xf>
    <xf numFmtId="4" fontId="183" fillId="52" borderId="0" xfId="0" applyNumberFormat="1" applyFont="1" applyFill="1" applyAlignment="1">
      <alignment horizontal="right" vertical="top" wrapText="1" readingOrder="1"/>
    </xf>
    <xf numFmtId="0" fontId="32" fillId="0" borderId="0" xfId="0" applyNumberFormat="1" applyFont="1" applyFill="1" applyAlignment="1">
      <alignment horizontal="justify" vertical="top" wrapText="1"/>
    </xf>
    <xf numFmtId="0" fontId="32" fillId="0" borderId="0" xfId="0" applyFont="1" applyAlignment="1">
      <alignment horizontal="justify" vertical="top" wrapText="1"/>
    </xf>
    <xf numFmtId="0" fontId="114" fillId="0" borderId="0" xfId="0" applyFont="1" applyAlignment="1">
      <alignment horizontal="justify" vertical="top" wrapText="1"/>
    </xf>
    <xf numFmtId="49" fontId="40" fillId="0" borderId="50" xfId="0" applyNumberFormat="1" applyFont="1" applyBorder="1" applyAlignment="1">
      <alignment horizontal="left" wrapText="1"/>
    </xf>
    <xf numFmtId="0" fontId="0" fillId="0" borderId="50" xfId="0" applyBorder="1" applyAlignment="1">
      <alignment horizontal="left" wrapText="1"/>
    </xf>
    <xf numFmtId="0" fontId="42" fillId="0" borderId="10" xfId="0" applyFont="1" applyBorder="1" applyAlignment="1">
      <alignment horizontal="center"/>
    </xf>
    <xf numFmtId="0" fontId="49" fillId="5" borderId="51" xfId="0" applyFont="1" applyFill="1" applyBorder="1" applyAlignment="1">
      <alignment horizontal="center" wrapText="1"/>
    </xf>
    <xf numFmtId="0" fontId="49" fillId="5" borderId="52" xfId="0" applyFont="1" applyFill="1" applyBorder="1" applyAlignment="1">
      <alignment horizontal="center" wrapText="1"/>
    </xf>
    <xf numFmtId="0" fontId="49" fillId="5" borderId="53" xfId="0" applyFont="1" applyFill="1" applyBorder="1" applyAlignment="1">
      <alignment horizontal="center" wrapText="1"/>
    </xf>
    <xf numFmtId="0" fontId="49" fillId="5" borderId="54" xfId="0" applyFont="1" applyFill="1" applyBorder="1" applyAlignment="1">
      <alignment horizontal="center" wrapText="1"/>
    </xf>
    <xf numFmtId="0" fontId="49" fillId="5" borderId="0" xfId="0" applyFont="1" applyFill="1" applyBorder="1" applyAlignment="1">
      <alignment horizontal="center" wrapText="1"/>
    </xf>
    <xf numFmtId="0" fontId="49" fillId="5" borderId="55" xfId="0" applyFont="1" applyFill="1" applyBorder="1" applyAlignment="1">
      <alignment horizontal="center" wrapText="1"/>
    </xf>
    <xf numFmtId="0" fontId="49" fillId="5" borderId="59" xfId="0" applyFont="1" applyFill="1" applyBorder="1" applyAlignment="1">
      <alignment horizontal="center" wrapText="1"/>
    </xf>
    <xf numFmtId="0" fontId="49" fillId="5" borderId="60" xfId="0" applyFont="1" applyFill="1" applyBorder="1" applyAlignment="1">
      <alignment horizontal="center" wrapText="1"/>
    </xf>
    <xf numFmtId="0" fontId="49" fillId="5" borderId="61" xfId="0" applyFont="1" applyFill="1" applyBorder="1" applyAlignment="1">
      <alignment horizontal="center" wrapText="1"/>
    </xf>
    <xf numFmtId="0" fontId="49" fillId="5" borderId="22" xfId="0" applyFont="1" applyFill="1" applyBorder="1" applyAlignment="1">
      <alignment horizontal="center"/>
    </xf>
    <xf numFmtId="186" fontId="49" fillId="5" borderId="22" xfId="0" applyNumberFormat="1" applyFont="1" applyFill="1" applyBorder="1" applyAlignment="1">
      <alignment horizontal="center"/>
    </xf>
    <xf numFmtId="0" fontId="49" fillId="5" borderId="56" xfId="0" applyFont="1" applyFill="1" applyBorder="1" applyAlignment="1">
      <alignment horizontal="center"/>
    </xf>
    <xf numFmtId="0" fontId="49" fillId="5" borderId="57" xfId="0" applyFont="1" applyFill="1" applyBorder="1" applyAlignment="1">
      <alignment horizontal="center"/>
    </xf>
    <xf numFmtId="0" fontId="49" fillId="5" borderId="58" xfId="0" applyFont="1" applyFill="1" applyBorder="1" applyAlignment="1">
      <alignment horizontal="center"/>
    </xf>
    <xf numFmtId="0" fontId="46" fillId="8" borderId="60" xfId="0" applyFont="1" applyFill="1" applyBorder="1" applyAlignment="1">
      <alignment horizontal="center"/>
    </xf>
    <xf numFmtId="0" fontId="48" fillId="5" borderId="22" xfId="0" applyFont="1" applyFill="1" applyBorder="1" applyAlignment="1">
      <alignment horizontal="center" vertical="center"/>
    </xf>
    <xf numFmtId="186" fontId="48" fillId="5" borderId="22" xfId="0" applyNumberFormat="1" applyFont="1" applyFill="1" applyBorder="1" applyAlignment="1">
      <alignment horizontal="center" vertical="center"/>
    </xf>
    <xf numFmtId="0" fontId="48" fillId="5" borderId="22" xfId="0" applyFont="1" applyFill="1" applyBorder="1" applyAlignment="1">
      <alignment horizontal="center" vertical="center" wrapText="1"/>
    </xf>
    <xf numFmtId="0" fontId="48" fillId="5" borderId="56" xfId="0" applyFont="1" applyFill="1" applyBorder="1" applyAlignment="1">
      <alignment horizontal="center" vertical="center" wrapText="1"/>
    </xf>
    <xf numFmtId="0" fontId="48" fillId="5" borderId="57" xfId="0" applyFont="1" applyFill="1" applyBorder="1" applyAlignment="1">
      <alignment horizontal="center" vertical="center" wrapText="1"/>
    </xf>
    <xf numFmtId="0" fontId="48" fillId="5" borderId="58" xfId="0" applyFont="1" applyFill="1" applyBorder="1" applyAlignment="1">
      <alignment horizontal="center" vertical="center" wrapText="1"/>
    </xf>
    <xf numFmtId="0" fontId="48" fillId="5" borderId="24" xfId="0" applyFont="1" applyFill="1" applyBorder="1" applyAlignment="1">
      <alignment horizontal="center" vertical="center" wrapText="1"/>
    </xf>
    <xf numFmtId="0" fontId="48" fillId="5" borderId="62" xfId="0" applyFont="1" applyFill="1" applyBorder="1" applyAlignment="1">
      <alignment horizontal="center" vertical="center" wrapText="1"/>
    </xf>
    <xf numFmtId="0" fontId="51" fillId="5" borderId="0" xfId="0" applyFont="1" applyFill="1" applyAlignment="1">
      <alignment horizontal="left" vertical="center"/>
    </xf>
    <xf numFmtId="15" fontId="36" fillId="0" borderId="63" xfId="0" applyNumberFormat="1" applyFont="1" applyFill="1" applyBorder="1" applyAlignment="1">
      <alignment horizontal="center"/>
    </xf>
    <xf numFmtId="15" fontId="36" fillId="0" borderId="64" xfId="0" applyNumberFormat="1" applyFont="1" applyFill="1" applyBorder="1" applyAlignment="1">
      <alignment horizontal="center"/>
    </xf>
    <xf numFmtId="15" fontId="36" fillId="0" borderId="65" xfId="0" applyNumberFormat="1" applyFont="1" applyFill="1" applyBorder="1" applyAlignment="1">
      <alignment horizontal="center"/>
    </xf>
    <xf numFmtId="0" fontId="65" fillId="10" borderId="0" xfId="0" applyFont="1" applyFill="1" applyBorder="1" applyAlignment="1">
      <alignment horizontal="center"/>
    </xf>
    <xf numFmtId="166" fontId="65" fillId="6" borderId="69" xfId="0" applyNumberFormat="1" applyFont="1" applyFill="1" applyBorder="1" applyAlignment="1">
      <alignment horizontal="center" vertical="center" wrapText="1"/>
    </xf>
    <xf numFmtId="166" fontId="65" fillId="6" borderId="76" xfId="0" applyNumberFormat="1" applyFont="1" applyFill="1" applyBorder="1" applyAlignment="1">
      <alignment horizontal="center" vertical="center" wrapText="1"/>
    </xf>
    <xf numFmtId="166" fontId="65" fillId="6" borderId="70" xfId="0" applyNumberFormat="1" applyFont="1" applyFill="1" applyBorder="1" applyAlignment="1">
      <alignment horizontal="center" vertical="center" wrapText="1"/>
    </xf>
    <xf numFmtId="166" fontId="65" fillId="6" borderId="74" xfId="0" applyNumberFormat="1" applyFont="1" applyFill="1" applyBorder="1" applyAlignment="1">
      <alignment horizontal="center" vertical="center" wrapText="1"/>
    </xf>
    <xf numFmtId="0" fontId="65" fillId="6" borderId="70" xfId="0" applyFont="1" applyFill="1" applyBorder="1" applyAlignment="1">
      <alignment horizontal="center" vertical="center"/>
    </xf>
    <xf numFmtId="0" fontId="65" fillId="6" borderId="71" xfId="0" applyFont="1" applyFill="1" applyBorder="1" applyAlignment="1">
      <alignment horizontal="center" vertical="center"/>
    </xf>
    <xf numFmtId="0" fontId="65" fillId="6" borderId="72" xfId="0" applyFont="1" applyFill="1" applyBorder="1" applyAlignment="1">
      <alignment horizontal="center" vertical="center"/>
    </xf>
    <xf numFmtId="2" fontId="65" fillId="6" borderId="50" xfId="0" applyNumberFormat="1" applyFont="1" applyFill="1" applyBorder="1" applyAlignment="1">
      <alignment horizontal="center" vertical="center" wrapText="1"/>
    </xf>
    <xf numFmtId="2" fontId="65" fillId="6" borderId="68" xfId="0" applyNumberFormat="1" applyFont="1" applyFill="1" applyBorder="1" applyAlignment="1">
      <alignment horizontal="center" vertical="center" wrapText="1"/>
    </xf>
    <xf numFmtId="2" fontId="65" fillId="6" borderId="69" xfId="0" applyNumberFormat="1" applyFont="1" applyFill="1" applyBorder="1" applyAlignment="1">
      <alignment horizontal="center" vertical="center" wrapText="1"/>
    </xf>
    <xf numFmtId="2" fontId="65" fillId="6" borderId="70" xfId="0" applyNumberFormat="1" applyFont="1" applyFill="1" applyBorder="1" applyAlignment="1">
      <alignment horizontal="center" vertical="center" wrapText="1"/>
    </xf>
    <xf numFmtId="2" fontId="65" fillId="6" borderId="72" xfId="0" applyNumberFormat="1" applyFont="1" applyFill="1" applyBorder="1" applyAlignment="1">
      <alignment horizontal="center" vertical="center" wrapText="1"/>
    </xf>
    <xf numFmtId="2" fontId="65" fillId="9" borderId="69" xfId="0" applyNumberFormat="1" applyFont="1" applyFill="1" applyBorder="1" applyAlignment="1">
      <alignment horizontal="center" vertical="center" wrapText="1"/>
    </xf>
    <xf numFmtId="2" fontId="65" fillId="9" borderId="70" xfId="0" applyNumberFormat="1" applyFont="1" applyFill="1" applyBorder="1" applyAlignment="1">
      <alignment horizontal="center" vertical="center" wrapText="1"/>
    </xf>
    <xf numFmtId="2" fontId="65" fillId="9" borderId="72" xfId="0" applyNumberFormat="1" applyFont="1" applyFill="1" applyBorder="1" applyAlignment="1">
      <alignment horizontal="center" vertical="center" wrapText="1"/>
    </xf>
    <xf numFmtId="0" fontId="187" fillId="0" borderId="0" xfId="0" applyFont="1" applyAlignment="1">
      <alignment horizontal="center"/>
    </xf>
    <xf numFmtId="0" fontId="188" fillId="53" borderId="0" xfId="0" applyFont="1" applyFill="1" applyAlignment="1">
      <alignment horizontal="left" vertical="top"/>
    </xf>
    <xf numFmtId="0" fontId="156" fillId="7" borderId="35" xfId="157" applyFont="1" applyFill="1" applyBorder="1" applyAlignment="1">
      <alignment horizontal="center"/>
    </xf>
    <xf numFmtId="203" fontId="158" fillId="46" borderId="106" xfId="159" applyNumberFormat="1" applyFont="1" applyFill="1" applyBorder="1" applyAlignment="1">
      <alignment horizontal="center" wrapText="1"/>
    </xf>
    <xf numFmtId="203" fontId="158" fillId="46" borderId="113" xfId="159" applyNumberFormat="1" applyFont="1" applyFill="1" applyBorder="1" applyAlignment="1">
      <alignment horizontal="center" wrapText="1"/>
    </xf>
    <xf numFmtId="203" fontId="158" fillId="46" borderId="106" xfId="159" applyNumberFormat="1" applyFont="1" applyFill="1" applyBorder="1" applyAlignment="1">
      <alignment horizontal="center" vertical="center" wrapText="1"/>
    </xf>
    <xf numFmtId="203" fontId="158" fillId="46" borderId="113" xfId="159" applyNumberFormat="1" applyFont="1" applyFill="1" applyBorder="1" applyAlignment="1">
      <alignment horizontal="center" vertical="center" wrapText="1"/>
    </xf>
    <xf numFmtId="203" fontId="158" fillId="46" borderId="107" xfId="159" applyNumberFormat="1" applyFont="1" applyFill="1" applyBorder="1" applyAlignment="1">
      <alignment horizontal="center" vertical="center" wrapText="1"/>
    </xf>
    <xf numFmtId="203" fontId="158" fillId="46" borderId="73" xfId="159" applyNumberFormat="1" applyFont="1" applyFill="1" applyBorder="1" applyAlignment="1">
      <alignment horizontal="center" vertical="center" wrapText="1"/>
    </xf>
    <xf numFmtId="166" fontId="158" fillId="46" borderId="50" xfId="158" applyNumberFormat="1" applyFont="1" applyFill="1" applyBorder="1" applyAlignment="1">
      <alignment horizontal="center" vertical="center" wrapText="1"/>
    </xf>
    <xf numFmtId="166" fontId="158" fillId="46" borderId="35" xfId="158" applyNumberFormat="1" applyFont="1" applyFill="1" applyBorder="1" applyAlignment="1">
      <alignment horizontal="center" vertical="center" wrapText="1"/>
    </xf>
    <xf numFmtId="43" fontId="158" fillId="46" borderId="108" xfId="158" applyFont="1" applyFill="1" applyBorder="1" applyAlignment="1">
      <alignment horizontal="center" vertical="center" wrapText="1"/>
    </xf>
    <xf numFmtId="43" fontId="158" fillId="46" borderId="114" xfId="158" applyFont="1" applyFill="1" applyBorder="1" applyAlignment="1">
      <alignment horizontal="center" vertical="center" wrapText="1"/>
    </xf>
    <xf numFmtId="203" fontId="159" fillId="46" borderId="109" xfId="159" applyNumberFormat="1" applyFont="1" applyFill="1" applyBorder="1" applyAlignment="1">
      <alignment horizontal="center" vertical="center" wrapText="1"/>
    </xf>
    <xf numFmtId="203" fontId="159" fillId="46" borderId="115" xfId="159" applyNumberFormat="1" applyFont="1" applyFill="1" applyBorder="1" applyAlignment="1">
      <alignment horizontal="center" vertical="center" wrapText="1"/>
    </xf>
    <xf numFmtId="203" fontId="158" fillId="46" borderId="109" xfId="159" applyNumberFormat="1" applyFont="1" applyFill="1" applyBorder="1" applyAlignment="1">
      <alignment horizontal="center" vertical="center" wrapText="1"/>
    </xf>
    <xf numFmtId="203" fontId="158" fillId="46" borderId="115" xfId="159" applyNumberFormat="1" applyFont="1" applyFill="1" applyBorder="1" applyAlignment="1">
      <alignment horizontal="center" vertical="center" wrapText="1"/>
    </xf>
    <xf numFmtId="203" fontId="158" fillId="46" borderId="110" xfId="159" applyNumberFormat="1" applyFont="1" applyFill="1" applyBorder="1" applyAlignment="1">
      <alignment horizontal="center" vertical="center" wrapText="1"/>
    </xf>
    <xf numFmtId="203" fontId="158" fillId="46" borderId="116" xfId="159" applyNumberFormat="1" applyFont="1" applyFill="1" applyBorder="1" applyAlignment="1">
      <alignment horizontal="center" vertical="center" wrapText="1"/>
    </xf>
    <xf numFmtId="203" fontId="158" fillId="46" borderId="108" xfId="159" applyNumberFormat="1" applyFont="1" applyFill="1" applyBorder="1" applyAlignment="1">
      <alignment horizontal="center" vertical="center" wrapText="1"/>
    </xf>
    <xf numFmtId="203" fontId="158" fillId="46" borderId="114" xfId="159" applyNumberFormat="1" applyFont="1" applyFill="1" applyBorder="1" applyAlignment="1">
      <alignment horizontal="center" vertical="center" wrapText="1"/>
    </xf>
    <xf numFmtId="203" fontId="160" fillId="47" borderId="111" xfId="159" applyNumberFormat="1" applyFont="1" applyFill="1" applyBorder="1" applyAlignment="1">
      <alignment horizontal="center" vertical="center" wrapText="1"/>
    </xf>
    <xf numFmtId="203" fontId="160" fillId="47" borderId="112" xfId="159" applyNumberFormat="1" applyFont="1" applyFill="1" applyBorder="1" applyAlignment="1">
      <alignment horizontal="center" vertical="center" wrapText="1"/>
    </xf>
  </cellXfs>
  <cellStyles count="194">
    <cellStyle name=" 1" xfId="2"/>
    <cellStyle name=" 1 2" xfId="5"/>
    <cellStyle name=" 1 3" xfId="6"/>
    <cellStyle name=" 1 4" xfId="8"/>
    <cellStyle name=" Writer Import]_x000d__x000a_Display Dialog=No_x000d__x000a__x000d__x000a_[Horizontal Arrange]_x000d__x000a_Dimensions Interlocking=Yes_x000d__x000a_Sum Hierarchy=Yes_x000d__x000a_Generate" xfId="4"/>
    <cellStyle name=" Writer Import]_x000d__x000a_Display Dialog=No_x000d__x000a__x000d__x000a_[Horizontal Arrange]_x000d__x000a_Dimensions Interlocking=Yes_x000d__x000a_Sum Hierarchy=Yes_x000d__x000a_Generate 2" xfId="90"/>
    <cellStyle name=" Writer Import]_x000d__x000a_Display Dialog=No_x000d__x000a__x000d__x000a_[Horizontal Arrange]_x000d__x000a_Dimensions Interlocking=Yes_x000d__x000a_Sum Hierarchy=Yes_x000d__x000a_Generate_5.2" xfId="91"/>
    <cellStyle name="_accounts disclosure_Cash Flow " xfId="92"/>
    <cellStyle name="_accounts disclosure_Distribution " xfId="93"/>
    <cellStyle name="_Corporate Final " xfId="9"/>
    <cellStyle name="_FINALIFRS-LOC Accounts -(30June09)_Accounts 2009-NIUT NON LOC-after RAJ final-signed_Cash Flow " xfId="94"/>
    <cellStyle name="_FINALIFRS-LOC Accounts -(30June09)_Accounts 2009-NIUT NON LOC-after RAJ final-signed_Distribution " xfId="95"/>
    <cellStyle name="_FINALIFRS-LOC Accounts -(30June09)_Cash Flow " xfId="96"/>
    <cellStyle name="_FINALIFRS-LOC Accounts -(30June09)_Distribution " xfId="97"/>
    <cellStyle name="_FINALIFRS-LOC Accounts -(30June09)_Sheet2_Cash Flow " xfId="98"/>
    <cellStyle name="_FINALIFRS-LOC Accounts -(30June09)_Sheet2_Distribution " xfId="99"/>
    <cellStyle name="_FINALIFRS-LOC Accounts -(30June09)_Xl0000000_Cash Flow " xfId="100"/>
    <cellStyle name="_FINALIFRS-LOC Accounts -(30June09)_Xl0000000_Distribution " xfId="101"/>
    <cellStyle name="_ForwardMCR_FORM 18 DEPOSIT SUBSD " xfId="10"/>
    <cellStyle name="_MCR December 2007_FORM 18 DEPOSIT SUBSD " xfId="11"/>
    <cellStyle name="_Revised Notes l Accounts Final 04.03.2009_Consolidatd Form 1A_FORM 18 DEPOSIT SUBSD " xfId="12"/>
    <cellStyle name="_Revised Notes l Accounts Final 04.03.2009_Final Fixed Assets 2010 " xfId="13"/>
    <cellStyle name="_Revised Notes l Accounts Final 04.03.2009_FORM 12_Final Fixed Assets 2010 " xfId="14"/>
    <cellStyle name="_Revised Notes l Accounts Final 04.03.2009_FORM 12_Oman Fixed Assets 2011 " xfId="15"/>
    <cellStyle name="_Revised Notes l Accounts Final 04.03.2009_FORM 16 " xfId="7"/>
    <cellStyle name="_Revised Notes l Accounts Final 04.03.2009_Govt. Advances_Final Fixed Assets 2010 " xfId="16"/>
    <cellStyle name="_Revised Notes l Accounts Final 04.03.2009_Govt. Advances_Oman Fixed Assets 2011 " xfId="17"/>
    <cellStyle name="_Revised Notes l Accounts Final 04.03.2009_Oman Fixed Assets 2011 " xfId="18"/>
    <cellStyle name="_Revised Notes l Accounts Final 04.03.2009_Output 1 (299 AO)_Final Fixed Assets 2010 " xfId="19"/>
    <cellStyle name="_Revised Notes l Accounts Final 04.03.2009_Output 1 (299 AO)_Oman Fixed Assets 2011 " xfId="20"/>
    <cellStyle name="_SBP QUERY 22 05 2009_Final Fixed Assets 2010 " xfId="21"/>
    <cellStyle name="_SBP QUERY 22 05 2009_Oman Fixed Assets 2011 " xfId="22"/>
    <cellStyle name="_SBP-ORM-SA-DEC08_FORM 18 DEPOSIT SUBSD " xfId="23"/>
    <cellStyle name="_Standalone Financial Accounts  - June 2008- July 18, 2008 Final_FORM 18 DEPOSIT SUBSD " xfId="24"/>
    <cellStyle name="_Technology MI September v2NB_Cash Flow " xfId="102"/>
    <cellStyle name="_Technology MI September v2NB_Distribution " xfId="103"/>
    <cellStyle name="_UBL Accounts 2007_FORM 18 DEPOSIT SUBSD " xfId="25"/>
    <cellStyle name="=C:\WINNT\SYSTEM32\COMMAND.COM 2 2" xfId="170"/>
    <cellStyle name="=C:\WINNT\SYSTEM32\COMMAND.COM 2 2 2 2" xfId="185"/>
    <cellStyle name="=C:\WINNT\SYSTEM32\COMMAND.COM 2 3" xfId="146"/>
    <cellStyle name="=C:\WINNT35\SYSTEM32\COMMAND.COM_BRR Draft financial statement (After MH) 5 OCT 10  " xfId="26"/>
    <cellStyle name="20% - Accent1" xfId="122" builtinId="30" customBuiltin="1"/>
    <cellStyle name="20% - Accent2" xfId="126" builtinId="34" customBuiltin="1"/>
    <cellStyle name="20% - Accent3" xfId="130" builtinId="38" customBuiltin="1"/>
    <cellStyle name="20% - Accent4" xfId="134" builtinId="42" customBuiltin="1"/>
    <cellStyle name="20% - Accent5" xfId="138" builtinId="46" customBuiltin="1"/>
    <cellStyle name="20% - Accent6" xfId="142" builtinId="50" customBuiltin="1"/>
    <cellStyle name="40% - Accent1" xfId="123" builtinId="31" customBuiltin="1"/>
    <cellStyle name="40% - Accent2" xfId="127" builtinId="35" customBuiltin="1"/>
    <cellStyle name="40% - Accent3" xfId="131" builtinId="39" customBuiltin="1"/>
    <cellStyle name="40% - Accent4" xfId="135" builtinId="43" customBuiltin="1"/>
    <cellStyle name="40% - Accent5" xfId="139" builtinId="47" customBuiltin="1"/>
    <cellStyle name="40% - Accent6" xfId="143" builtinId="51" customBuiltin="1"/>
    <cellStyle name="60% - Accent1" xfId="124" builtinId="32" customBuiltin="1"/>
    <cellStyle name="60% - Accent2" xfId="128" builtinId="36" customBuiltin="1"/>
    <cellStyle name="60% - Accent3" xfId="132" builtinId="40" customBuiltin="1"/>
    <cellStyle name="60% - Accent4" xfId="136" builtinId="44" customBuiltin="1"/>
    <cellStyle name="60% - Accent5" xfId="140" builtinId="48" customBuiltin="1"/>
    <cellStyle name="60% - Accent6" xfId="144" builtinId="52" customBuiltin="1"/>
    <cellStyle name="Accent1" xfId="121" builtinId="29" customBuiltin="1"/>
    <cellStyle name="Accent2" xfId="125" builtinId="33" customBuiltin="1"/>
    <cellStyle name="Accent3" xfId="129" builtinId="37" customBuiltin="1"/>
    <cellStyle name="Accent4" xfId="133" builtinId="41" customBuiltin="1"/>
    <cellStyle name="Accent5" xfId="137" builtinId="45" customBuiltin="1"/>
    <cellStyle name="Accent6" xfId="141" builtinId="49" customBuiltin="1"/>
    <cellStyle name="Bad" xfId="110" builtinId="27" customBuiltin="1"/>
    <cellStyle name="Calculation" xfId="114" builtinId="22" customBuiltin="1"/>
    <cellStyle name="Check Cell" xfId="116" builtinId="23" customBuiltin="1"/>
    <cellStyle name="Comma" xfId="1" builtinId="3"/>
    <cellStyle name="Comma 10 2 2" xfId="150"/>
    <cellStyle name="Comma 10 2 4" xfId="145"/>
    <cellStyle name="Comma 11 2 3" xfId="152"/>
    <cellStyle name="Comma 2" xfId="158"/>
    <cellStyle name="Comma 2 2 2 2 3 2" xfId="164"/>
    <cellStyle name="Comma 2 2 2 3 2" xfId="184"/>
    <cellStyle name="Comma 20 2" xfId="161"/>
    <cellStyle name="Comma 3" xfId="162"/>
    <cellStyle name="Comma 3 5" xfId="183"/>
    <cellStyle name="Comma 8 2" xfId="191"/>
    <cellStyle name="Comma_Accouns - UMF (in thousand)-final" xfId="192"/>
    <cellStyle name="Comma_TFC valuation 2" xfId="160"/>
    <cellStyle name="Currency" xfId="104" builtinId="4"/>
    <cellStyle name="Explanatory Text" xfId="119" builtinId="53" customBuiltin="1"/>
    <cellStyle name="Good" xfId="109" builtinId="26" customBuiltin="1"/>
    <cellStyle name="Heading 1" xfId="105" builtinId="16" customBuiltin="1"/>
    <cellStyle name="Heading 2" xfId="106" builtinId="17" customBuiltin="1"/>
    <cellStyle name="Heading 3" xfId="107" builtinId="18" customBuiltin="1"/>
    <cellStyle name="Heading 4" xfId="108" builtinId="19" customBuiltin="1"/>
    <cellStyle name="Input" xfId="112" builtinId="20" customBuiltin="1"/>
    <cellStyle name="Linked Cell" xfId="115" builtinId="24" customBuiltin="1"/>
    <cellStyle name="Neutral" xfId="111" builtinId="28" customBuiltin="1"/>
    <cellStyle name="Normal" xfId="0" builtinId="0" customBuiltin="1"/>
    <cellStyle name="Normal - Style1 2" xfId="148"/>
    <cellStyle name="Normal 10" xfId="166"/>
    <cellStyle name="Normal 100_Final Fixed Assets 2010 " xfId="27"/>
    <cellStyle name="Normal 101_Final Fixed Assets 2010 " xfId="28"/>
    <cellStyle name="Normal 104" xfId="179"/>
    <cellStyle name="Normal 109_Final Fixed Assets 2010 " xfId="29"/>
    <cellStyle name="Normal 110_Final Fixed Assets 2010 " xfId="30"/>
    <cellStyle name="Normal 111 2" xfId="171"/>
    <cellStyle name="Normal 111_Final Fixed Assets 2010 " xfId="31"/>
    <cellStyle name="Normal 112_Final Fixed Assets 2010 " xfId="32"/>
    <cellStyle name="Normal 113_Final Fixed Assets 2010 " xfId="33"/>
    <cellStyle name="Normal 114_Final Fixed Assets 2010 " xfId="34"/>
    <cellStyle name="Normal 115_Final Fixed Assets 2010 " xfId="35"/>
    <cellStyle name="Normal 116_Final Fixed Assets 2010 " xfId="36"/>
    <cellStyle name="Normal 117" xfId="181"/>
    <cellStyle name="Normal 118_Final Fixed Assets 2010 " xfId="37"/>
    <cellStyle name="Normal 119_Final Fixed Assets 2010 " xfId="38"/>
    <cellStyle name="Normal 120_Final Fixed Assets 2010 " xfId="39"/>
    <cellStyle name="Normal 124" xfId="187"/>
    <cellStyle name="Normal 13_Final Fixed Assets 2010 " xfId="40"/>
    <cellStyle name="Normal 132" xfId="190"/>
    <cellStyle name="Normal 138" xfId="173"/>
    <cellStyle name="Normal 14_Final Fixed Assets 2010 " xfId="41"/>
    <cellStyle name="Normal 16_Final Fixed Assets 2010 " xfId="42"/>
    <cellStyle name="Normal 19 4" xfId="172"/>
    <cellStyle name="Normal 19_Final Fixed Assets 2010 " xfId="43"/>
    <cellStyle name="Normal 2" xfId="157"/>
    <cellStyle name="Normal 2 10" xfId="149"/>
    <cellStyle name="Normal 2 10 2" xfId="165"/>
    <cellStyle name="Normal 2 11" xfId="177"/>
    <cellStyle name="Normal 2 14" xfId="153"/>
    <cellStyle name="Normal 2 2" xfId="168"/>
    <cellStyle name="Normal 2 2 2" xfId="189"/>
    <cellStyle name="Normal 2 3" xfId="156"/>
    <cellStyle name="Normal 2 6" xfId="186"/>
    <cellStyle name="Normal 2 7 3" xfId="180"/>
    <cellStyle name="Normal 20_Final Fixed Assets 2010 " xfId="44"/>
    <cellStyle name="Normal 21_Final Fixed Assets 2010 " xfId="45"/>
    <cellStyle name="Normal 22_Final Fixed Assets 2010 " xfId="46"/>
    <cellStyle name="Normal 24_Final Fixed Assets 2010 " xfId="47"/>
    <cellStyle name="Normal 25_Final Fixed Assets 2010 " xfId="48"/>
    <cellStyle name="Normal 26_Final Fixed Assets 2010 " xfId="49"/>
    <cellStyle name="Normal 27_Final Fixed Assets 2010 " xfId="50"/>
    <cellStyle name="Normal 28_Final Fixed Assets 2010 " xfId="51"/>
    <cellStyle name="Normal 29_Final Fixed Assets 2010 " xfId="52"/>
    <cellStyle name="Normal 30_Final Fixed Assets 2010 " xfId="53"/>
    <cellStyle name="Normal 4" xfId="178"/>
    <cellStyle name="Normal 49_Final Fixed Assets 2010 " xfId="54"/>
    <cellStyle name="Normal 6 2" xfId="188"/>
    <cellStyle name="Normal 61_Final Fixed Assets 2010 " xfId="55"/>
    <cellStyle name="Normal 62" xfId="174"/>
    <cellStyle name="Normal 63_Final Fixed Assets 2010 " xfId="56"/>
    <cellStyle name="Normal 64_Final Fixed Assets 2010 " xfId="57"/>
    <cellStyle name="Normal 65_Final Fixed Assets 2010 " xfId="58"/>
    <cellStyle name="Normal 66_Final Fixed Assets 2010 " xfId="59"/>
    <cellStyle name="Normal 67_Final Fixed Assets 2010 " xfId="60"/>
    <cellStyle name="Normal 68_Final Fixed Assets 2010 " xfId="61"/>
    <cellStyle name="Normal 69_Final Fixed Assets 2010 " xfId="62"/>
    <cellStyle name="Normal 70_Final Fixed Assets 2010 " xfId="63"/>
    <cellStyle name="Normal 71_Final Fixed Assets 2010 " xfId="64"/>
    <cellStyle name="Normal 72_Final Fixed Assets 2010 " xfId="65"/>
    <cellStyle name="Normal 73_Final Fixed Assets 2010 " xfId="66"/>
    <cellStyle name="Normal 74_Final Fixed Assets 2010 " xfId="67"/>
    <cellStyle name="Normal 75_Final Fixed Assets 2010 " xfId="68"/>
    <cellStyle name="Normal 76_Final Fixed Assets 2010 " xfId="69"/>
    <cellStyle name="Normal 77_Final Fixed Assets 2010 " xfId="70"/>
    <cellStyle name="Normal 78_Final Fixed Assets 2010 " xfId="71"/>
    <cellStyle name="Normal 79_Final Fixed Assets 2010 " xfId="72"/>
    <cellStyle name="Normal 80_Final Fixed Assets 2010 " xfId="73"/>
    <cellStyle name="Normal 81_Final Fixed Assets 2010 " xfId="74"/>
    <cellStyle name="Normal 82_Final Fixed Assets 2010 " xfId="75"/>
    <cellStyle name="Normal 83_Final Fixed Assets 2010 " xfId="76"/>
    <cellStyle name="Normal 84_Final Fixed Assets 2010 " xfId="77"/>
    <cellStyle name="Normal 85_Final Fixed Assets 2010 " xfId="78"/>
    <cellStyle name="Normal 86_Final Fixed Assets 2010 " xfId="79"/>
    <cellStyle name="Normal 87_Final Fixed Assets 2010 " xfId="80"/>
    <cellStyle name="Normal 88_Final Fixed Assets 2010 " xfId="81"/>
    <cellStyle name="Normal 89_Final Fixed Assets 2010 " xfId="82"/>
    <cellStyle name="Normal 90" xfId="163"/>
    <cellStyle name="Normal 91_Final Fixed Assets 2010 " xfId="83"/>
    <cellStyle name="Normal 92_Final Fixed Assets 2010 " xfId="84"/>
    <cellStyle name="Normal 93_Final Fixed Assets 2010 " xfId="85"/>
    <cellStyle name="Normal 94_Final Fixed Assets 2010 " xfId="86"/>
    <cellStyle name="Normal 95" xfId="167"/>
    <cellStyle name="Normal 96_Final Fixed Assets 2010 " xfId="87"/>
    <cellStyle name="Normal 97_Final Fixed Assets 2010 " xfId="88"/>
    <cellStyle name="Normal 98_Final Fixed Assets 2010 " xfId="89"/>
    <cellStyle name="Normal 99" xfId="169"/>
    <cellStyle name="Normal_DCF Jun 30, 2007 2" xfId="154"/>
    <cellStyle name="Normal_faysal bank" xfId="151"/>
    <cellStyle name="Normal_PPFL accounts June 30, 2010(FORMATTED)" xfId="193"/>
    <cellStyle name="Normal_TFC valuation 2" xfId="159"/>
    <cellStyle name="Note" xfId="118" builtinId="10" customBuiltin="1"/>
    <cellStyle name="Output" xfId="113" builtinId="21" customBuiltin="1"/>
    <cellStyle name="Percent" xfId="3" builtinId="5"/>
    <cellStyle name="Percent 2" xfId="175"/>
    <cellStyle name="Percent 2 7" xfId="155"/>
    <cellStyle name="Style 1 2 2" xfId="182"/>
    <cellStyle name="Style 1 3" xfId="147"/>
    <cellStyle name="Style 1 3 2" xfId="176"/>
    <cellStyle name="Total" xfId="120" builtinId="25" customBuiltin="1"/>
    <cellStyle name="Warning Text" xfId="1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externalLink" Target="externalLinks/externalLink1.xml"/><Relationship Id="rId63" Type="http://schemas.openxmlformats.org/officeDocument/2006/relationships/externalLink" Target="externalLinks/externalLink17.xml"/><Relationship Id="rId68" Type="http://schemas.openxmlformats.org/officeDocument/2006/relationships/externalLink" Target="externalLinks/externalLink22.xml"/><Relationship Id="rId84" Type="http://schemas.openxmlformats.org/officeDocument/2006/relationships/externalLink" Target="externalLinks/externalLink38.xml"/><Relationship Id="rId89" Type="http://schemas.openxmlformats.org/officeDocument/2006/relationships/externalLink" Target="externalLinks/externalLink4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7.xml"/><Relationship Id="rId58" Type="http://schemas.openxmlformats.org/officeDocument/2006/relationships/externalLink" Target="externalLinks/externalLink12.xml"/><Relationship Id="rId74" Type="http://schemas.openxmlformats.org/officeDocument/2006/relationships/externalLink" Target="externalLinks/externalLink28.xml"/><Relationship Id="rId79" Type="http://schemas.openxmlformats.org/officeDocument/2006/relationships/externalLink" Target="externalLinks/externalLink33.xml"/><Relationship Id="rId102" Type="http://schemas.openxmlformats.org/officeDocument/2006/relationships/customXml" Target="../customXml/item9.xml"/><Relationship Id="rId5" Type="http://schemas.openxmlformats.org/officeDocument/2006/relationships/worksheet" Target="worksheets/sheet5.xml"/><Relationship Id="rId90" Type="http://schemas.openxmlformats.org/officeDocument/2006/relationships/theme" Target="theme/theme1.xml"/><Relationship Id="rId95"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externalLink" Target="externalLinks/externalLink2.xml"/><Relationship Id="rId64" Type="http://schemas.openxmlformats.org/officeDocument/2006/relationships/externalLink" Target="externalLinks/externalLink18.xml"/><Relationship Id="rId69" Type="http://schemas.openxmlformats.org/officeDocument/2006/relationships/externalLink" Target="externalLinks/externalLink23.xml"/><Relationship Id="rId80" Type="http://schemas.openxmlformats.org/officeDocument/2006/relationships/externalLink" Target="externalLinks/externalLink34.xml"/><Relationship Id="rId85" Type="http://schemas.openxmlformats.org/officeDocument/2006/relationships/externalLink" Target="externalLinks/externalLink39.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3.xml"/><Relationship Id="rId67" Type="http://schemas.openxmlformats.org/officeDocument/2006/relationships/externalLink" Target="externalLinks/externalLink2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8.xml"/><Relationship Id="rId62" Type="http://schemas.openxmlformats.org/officeDocument/2006/relationships/externalLink" Target="externalLinks/externalLink16.xml"/><Relationship Id="rId70" Type="http://schemas.openxmlformats.org/officeDocument/2006/relationships/externalLink" Target="externalLinks/externalLink24.xml"/><Relationship Id="rId75" Type="http://schemas.openxmlformats.org/officeDocument/2006/relationships/externalLink" Target="externalLinks/externalLink29.xml"/><Relationship Id="rId83" Type="http://schemas.openxmlformats.org/officeDocument/2006/relationships/externalLink" Target="externalLinks/externalLink37.xml"/><Relationship Id="rId88" Type="http://schemas.openxmlformats.org/officeDocument/2006/relationships/externalLink" Target="externalLinks/externalLink42.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57" Type="http://schemas.openxmlformats.org/officeDocument/2006/relationships/externalLink" Target="externalLinks/externalLink1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6.xml"/><Relationship Id="rId60" Type="http://schemas.openxmlformats.org/officeDocument/2006/relationships/externalLink" Target="externalLinks/externalLink14.xml"/><Relationship Id="rId65" Type="http://schemas.openxmlformats.org/officeDocument/2006/relationships/externalLink" Target="externalLinks/externalLink19.xml"/><Relationship Id="rId73" Type="http://schemas.openxmlformats.org/officeDocument/2006/relationships/externalLink" Target="externalLinks/externalLink27.xml"/><Relationship Id="rId78" Type="http://schemas.openxmlformats.org/officeDocument/2006/relationships/externalLink" Target="externalLinks/externalLink32.xml"/><Relationship Id="rId81" Type="http://schemas.openxmlformats.org/officeDocument/2006/relationships/externalLink" Target="externalLinks/externalLink35.xml"/><Relationship Id="rId86" Type="http://schemas.openxmlformats.org/officeDocument/2006/relationships/externalLink" Target="externalLinks/externalLink40.xml"/><Relationship Id="rId94" Type="http://schemas.openxmlformats.org/officeDocument/2006/relationships/customXml" Target="../customXml/item1.xml"/><Relationship Id="rId99" Type="http://schemas.openxmlformats.org/officeDocument/2006/relationships/customXml" Target="../customXml/item6.xml"/><Relationship Id="rId101"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externalLink" Target="externalLinks/externalLink4.xml"/><Relationship Id="rId55" Type="http://schemas.openxmlformats.org/officeDocument/2006/relationships/externalLink" Target="externalLinks/externalLink9.xml"/><Relationship Id="rId76" Type="http://schemas.openxmlformats.org/officeDocument/2006/relationships/externalLink" Target="externalLinks/externalLink30.xml"/><Relationship Id="rId97"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externalLink" Target="externalLinks/externalLink25.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20.xml"/><Relationship Id="rId87" Type="http://schemas.openxmlformats.org/officeDocument/2006/relationships/externalLink" Target="externalLinks/externalLink41.xml"/><Relationship Id="rId61" Type="http://schemas.openxmlformats.org/officeDocument/2006/relationships/externalLink" Target="externalLinks/externalLink15.xml"/><Relationship Id="rId82" Type="http://schemas.openxmlformats.org/officeDocument/2006/relationships/externalLink" Target="externalLinks/externalLink3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externalLink" Target="externalLinks/externalLink10.xml"/><Relationship Id="rId77" Type="http://schemas.openxmlformats.org/officeDocument/2006/relationships/externalLink" Target="externalLinks/externalLink31.xml"/><Relationship Id="rId100" Type="http://schemas.openxmlformats.org/officeDocument/2006/relationships/customXml" Target="../customXml/item7.xml"/><Relationship Id="rId8" Type="http://schemas.openxmlformats.org/officeDocument/2006/relationships/worksheet" Target="worksheets/sheet8.xml"/><Relationship Id="rId51" Type="http://schemas.openxmlformats.org/officeDocument/2006/relationships/externalLink" Target="externalLinks/externalLink5.xml"/><Relationship Id="rId72" Type="http://schemas.openxmlformats.org/officeDocument/2006/relationships/externalLink" Target="externalLinks/externalLink26.xml"/><Relationship Id="rId93" Type="http://schemas.openxmlformats.org/officeDocument/2006/relationships/calcChain" Target="calcChain.xml"/><Relationship Id="rId98" Type="http://schemas.openxmlformats.org/officeDocument/2006/relationships/customXml" Target="../customXml/item5.xml"/><Relationship Id="rId3" Type="http://schemas.openxmlformats.org/officeDocument/2006/relationships/worksheet" Target="worksheets/sheet3.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 Id="rId4"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2</xdr:col>
      <xdr:colOff>114300</xdr:colOff>
      <xdr:row>71</xdr:row>
      <xdr:rowOff>133350</xdr:rowOff>
    </xdr:from>
    <xdr:to>
      <xdr:col>12</xdr:col>
      <xdr:colOff>409575</xdr:colOff>
      <xdr:row>80</xdr:row>
      <xdr:rowOff>157693</xdr:rowOff>
    </xdr:to>
    <xdr:sp macro="" textlink="">
      <xdr:nvSpPr>
        <xdr:cNvPr id="2" name="TextBox 1"/>
        <xdr:cNvSpPr txBox="1"/>
      </xdr:nvSpPr>
      <xdr:spPr>
        <a:xfrm>
          <a:off x="1238250" y="11525250"/>
          <a:ext cx="6572250" cy="1481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____________________                                 _____________________                            __________________</a:t>
          </a:r>
        </a:p>
        <a:p>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64</xdr:row>
      <xdr:rowOff>85725</xdr:rowOff>
    </xdr:from>
    <xdr:to>
      <xdr:col>9</xdr:col>
      <xdr:colOff>152400</xdr:colOff>
      <xdr:row>73</xdr:row>
      <xdr:rowOff>157693</xdr:rowOff>
    </xdr:to>
    <xdr:sp macro="" textlink="">
      <xdr:nvSpPr>
        <xdr:cNvPr id="2" name="TextBox 1"/>
        <xdr:cNvSpPr txBox="1"/>
      </xdr:nvSpPr>
      <xdr:spPr>
        <a:xfrm>
          <a:off x="438150" y="9048750"/>
          <a:ext cx="6562725" cy="1481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____________________                                 _____________________                            __________________</a:t>
          </a:r>
        </a:p>
        <a:p>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530</xdr:row>
          <xdr:rowOff>0</xdr:rowOff>
        </xdr:from>
        <xdr:to>
          <xdr:col>8</xdr:col>
          <xdr:colOff>504092</xdr:colOff>
          <xdr:row>578</xdr:row>
          <xdr:rowOff>133350</xdr:rowOff>
        </xdr:to>
        <xdr:pic>
          <xdr:nvPicPr>
            <xdr:cNvPr id="58204" name="Picture 23"/>
            <xdr:cNvPicPr>
              <a:picLocks noChangeAspect="1" noChangeArrowheads="1"/>
              <a:extLst>
                <a:ext uri="{84589F7E-364E-4C9E-8A38-B11213B215E9}">
                  <a14:cameraTool cellRange="'15'!$B$5:$M$41" spid="_x0000_s181404"/>
                </a:ext>
              </a:extLst>
            </xdr:cNvPicPr>
          </xdr:nvPicPr>
          <xdr:blipFill>
            <a:blip xmlns:r="http://schemas.openxmlformats.org/officeDocument/2006/relationships" r:embed="rId1"/>
            <a:srcRect/>
            <a:stretch>
              <a:fillRect/>
            </a:stretch>
          </xdr:blipFill>
          <xdr:spPr bwMode="auto">
            <a:xfrm>
              <a:off x="390525" y="67456050"/>
              <a:ext cx="6000750" cy="71437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8</xdr:col>
          <xdr:colOff>504092</xdr:colOff>
          <xdr:row>233</xdr:row>
          <xdr:rowOff>123825</xdr:rowOff>
        </xdr:to>
        <xdr:pic>
          <xdr:nvPicPr>
            <xdr:cNvPr id="58205" name="Picture 12"/>
            <xdr:cNvPicPr>
              <a:picLocks noChangeAspect="1" noChangeArrowheads="1"/>
              <a:extLst>
                <a:ext uri="{84589F7E-364E-4C9E-8A38-B11213B215E9}">
                  <a14:cameraTool cellRange="'5.2.1'!$B$4:$L$24" spid="_x0000_s181405"/>
                </a:ext>
              </a:extLst>
            </xdr:cNvPicPr>
          </xdr:nvPicPr>
          <xdr:blipFill>
            <a:blip xmlns:r="http://schemas.openxmlformats.org/officeDocument/2006/relationships" r:embed="rId2"/>
            <a:srcRect/>
            <a:stretch>
              <a:fillRect/>
            </a:stretch>
          </xdr:blipFill>
          <xdr:spPr bwMode="auto">
            <a:xfrm>
              <a:off x="390525" y="36537900"/>
              <a:ext cx="6000750" cy="2867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148</xdr:row>
          <xdr:rowOff>1464</xdr:rowOff>
        </xdr:from>
        <xdr:to>
          <xdr:col>8</xdr:col>
          <xdr:colOff>475517</xdr:colOff>
          <xdr:row>201</xdr:row>
          <xdr:rowOff>0</xdr:rowOff>
        </xdr:to>
        <xdr:pic>
          <xdr:nvPicPr>
            <xdr:cNvPr id="58206" name="Picture 13"/>
            <xdr:cNvPicPr>
              <a:picLocks noChangeAspect="1" noChangeArrowheads="1"/>
              <a:extLst>
                <a:ext uri="{84589F7E-364E-4C9E-8A38-B11213B215E9}">
                  <a14:cameraTool cellRange="'5.1'!$B$4:$N$35" spid="_x0000_s181406"/>
                </a:ext>
              </a:extLst>
            </xdr:cNvPicPr>
          </xdr:nvPicPr>
          <xdr:blipFill>
            <a:blip xmlns:r="http://schemas.openxmlformats.org/officeDocument/2006/relationships" r:embed="rId3"/>
            <a:srcRect/>
            <a:stretch>
              <a:fillRect/>
            </a:stretch>
          </xdr:blipFill>
          <xdr:spPr bwMode="auto">
            <a:xfrm>
              <a:off x="361950" y="22747164"/>
              <a:ext cx="5990492" cy="57897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245</xdr:row>
          <xdr:rowOff>0</xdr:rowOff>
        </xdr:from>
        <xdr:to>
          <xdr:col>8</xdr:col>
          <xdr:colOff>504092</xdr:colOff>
          <xdr:row>272</xdr:row>
          <xdr:rowOff>142876</xdr:rowOff>
        </xdr:to>
        <xdr:pic>
          <xdr:nvPicPr>
            <xdr:cNvPr id="58208" name="Picture 11"/>
            <xdr:cNvPicPr>
              <a:picLocks noChangeAspect="1" noChangeArrowheads="1"/>
              <a:extLst>
                <a:ext uri="{84589F7E-364E-4C9E-8A38-B11213B215E9}">
                  <a14:cameraTool cellRange="'5.3.1'!$B$6:$L$39" spid="_x0000_s181407"/>
                </a:ext>
              </a:extLst>
            </xdr:cNvPicPr>
          </xdr:nvPicPr>
          <xdr:blipFill>
            <a:blip xmlns:r="http://schemas.openxmlformats.org/officeDocument/2006/relationships" r:embed="rId4"/>
            <a:srcRect/>
            <a:stretch>
              <a:fillRect/>
            </a:stretch>
          </xdr:blipFill>
          <xdr:spPr bwMode="auto">
            <a:xfrm>
              <a:off x="390525" y="41281350"/>
              <a:ext cx="6000750" cy="4257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9526</xdr:colOff>
          <xdr:row>276</xdr:row>
          <xdr:rowOff>66676</xdr:rowOff>
        </xdr:from>
        <xdr:to>
          <xdr:col>8</xdr:col>
          <xdr:colOff>778464</xdr:colOff>
          <xdr:row>336</xdr:row>
          <xdr:rowOff>85726</xdr:rowOff>
        </xdr:to>
        <xdr:pic>
          <xdr:nvPicPr>
            <xdr:cNvPr id="7" name="Picture 6"/>
            <xdr:cNvPicPr>
              <a:picLocks noChangeAspect="1" noChangeArrowheads="1"/>
              <a:extLst>
                <a:ext uri="{84589F7E-364E-4C9E-8A38-B11213B215E9}">
                  <a14:cameraTool cellRange="'Note 6.1'!$B$2:$L$125" spid="_x0000_s181408"/>
                </a:ext>
              </a:extLst>
            </xdr:cNvPicPr>
          </xdr:nvPicPr>
          <xdr:blipFill>
            <a:blip xmlns:r="http://schemas.openxmlformats.org/officeDocument/2006/relationships" r:embed="rId5"/>
            <a:srcRect/>
            <a:stretch>
              <a:fillRect/>
            </a:stretch>
          </xdr:blipFill>
          <xdr:spPr bwMode="auto">
            <a:xfrm>
              <a:off x="400051" y="38204776"/>
              <a:ext cx="6255338" cy="91630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8</xdr:col>
      <xdr:colOff>447675</xdr:colOff>
      <xdr:row>125</xdr:row>
      <xdr:rowOff>0</xdr:rowOff>
    </xdr:from>
    <xdr:ext cx="112048" cy="20193"/>
    <xdr:sp macro="" textlink="">
      <xdr:nvSpPr>
        <xdr:cNvPr id="2" name="Text Box 2"/>
        <xdr:cNvSpPr txBox="1">
          <a:spLocks noChangeAspect="1" noChangeArrowheads="1"/>
        </xdr:cNvSpPr>
      </xdr:nvSpPr>
      <xdr:spPr bwMode="auto">
        <a:xfrm>
          <a:off x="8858250" y="27755850"/>
          <a:ext cx="112048" cy="2019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8</xdr:col>
      <xdr:colOff>457200</xdr:colOff>
      <xdr:row>125</xdr:row>
      <xdr:rowOff>0</xdr:rowOff>
    </xdr:from>
    <xdr:ext cx="108238" cy="3810"/>
    <xdr:sp macro="" textlink="">
      <xdr:nvSpPr>
        <xdr:cNvPr id="3" name="Text Box 3"/>
        <xdr:cNvSpPr txBox="1">
          <a:spLocks noChangeAspect="1" noChangeArrowheads="1"/>
        </xdr:cNvSpPr>
      </xdr:nvSpPr>
      <xdr:spPr bwMode="auto">
        <a:xfrm>
          <a:off x="8867775" y="27755850"/>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8</xdr:col>
      <xdr:colOff>447675</xdr:colOff>
      <xdr:row>125</xdr:row>
      <xdr:rowOff>0</xdr:rowOff>
    </xdr:from>
    <xdr:ext cx="112048" cy="23241"/>
    <xdr:sp macro="" textlink="">
      <xdr:nvSpPr>
        <xdr:cNvPr id="4" name="Text Box 2"/>
        <xdr:cNvSpPr txBox="1">
          <a:spLocks noChangeAspect="1" noChangeArrowheads="1"/>
        </xdr:cNvSpPr>
      </xdr:nvSpPr>
      <xdr:spPr bwMode="auto">
        <a:xfrm>
          <a:off x="8858250" y="27755850"/>
          <a:ext cx="112048" cy="2324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8</xdr:col>
      <xdr:colOff>457200</xdr:colOff>
      <xdr:row>125</xdr:row>
      <xdr:rowOff>0</xdr:rowOff>
    </xdr:from>
    <xdr:ext cx="108238" cy="3810"/>
    <xdr:sp macro="" textlink="">
      <xdr:nvSpPr>
        <xdr:cNvPr id="5" name="Text Box 3"/>
        <xdr:cNvSpPr txBox="1">
          <a:spLocks noChangeAspect="1" noChangeArrowheads="1"/>
        </xdr:cNvSpPr>
      </xdr:nvSpPr>
      <xdr:spPr bwMode="auto">
        <a:xfrm>
          <a:off x="8867775" y="27755850"/>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24</xdr:col>
      <xdr:colOff>584227</xdr:colOff>
      <xdr:row>1172</xdr:row>
      <xdr:rowOff>133350</xdr:rowOff>
    </xdr:from>
    <xdr:to>
      <xdr:col>31</xdr:col>
      <xdr:colOff>925831</xdr:colOff>
      <xdr:row>1173</xdr:row>
      <xdr:rowOff>24893</xdr:rowOff>
    </xdr:to>
    <xdr:pic>
      <xdr:nvPicPr>
        <xdr:cNvPr id="2" name="Picture 1"/>
        <xdr:cNvPicPr>
          <a:picLocks noChangeAspect="1"/>
        </xdr:cNvPicPr>
      </xdr:nvPicPr>
      <xdr:blipFill rotWithShape="1">
        <a:blip xmlns:r="http://schemas.openxmlformats.org/officeDocument/2006/relationships" r:embed="rId1" cstate="print"/>
        <a:srcRect l="10104" t="16929" r="13093" b="51687"/>
        <a:stretch/>
      </xdr:blipFill>
      <xdr:spPr>
        <a:xfrm>
          <a:off x="18157852" y="180613050"/>
          <a:ext cx="7131024" cy="1638300"/>
        </a:xfrm>
        <a:prstGeom prst="rect">
          <a:avLst/>
        </a:prstGeom>
      </xdr:spPr>
    </xdr:pic>
    <xdr:clientData/>
  </xdr:twoCellAnchor>
  <xdr:twoCellAnchor editAs="oneCell">
    <xdr:from>
      <xdr:col>23</xdr:col>
      <xdr:colOff>742950</xdr:colOff>
      <xdr:row>1185</xdr:row>
      <xdr:rowOff>85725</xdr:rowOff>
    </xdr:from>
    <xdr:to>
      <xdr:col>29</xdr:col>
      <xdr:colOff>312740</xdr:colOff>
      <xdr:row>1185</xdr:row>
      <xdr:rowOff>132545</xdr:rowOff>
    </xdr:to>
    <xdr:pic>
      <xdr:nvPicPr>
        <xdr:cNvPr id="3" name="Picture 2"/>
        <xdr:cNvPicPr>
          <a:picLocks noChangeAspect="1"/>
        </xdr:cNvPicPr>
      </xdr:nvPicPr>
      <xdr:blipFill rotWithShape="1">
        <a:blip xmlns:r="http://schemas.openxmlformats.org/officeDocument/2006/relationships" r:embed="rId2" cstate="print"/>
        <a:srcRect l="11714" t="29301" r="13386" b="18219"/>
        <a:stretch/>
      </xdr:blipFill>
      <xdr:spPr>
        <a:xfrm>
          <a:off x="17183100" y="182670450"/>
          <a:ext cx="5754563" cy="2266950"/>
        </a:xfrm>
        <a:prstGeom prst="rect">
          <a:avLst/>
        </a:prstGeom>
      </xdr:spPr>
    </xdr:pic>
    <xdr:clientData/>
  </xdr:twoCellAnchor>
  <xdr:twoCellAnchor>
    <xdr:from>
      <xdr:col>0</xdr:col>
      <xdr:colOff>209550</xdr:colOff>
      <xdr:row>486</xdr:row>
      <xdr:rowOff>0</xdr:rowOff>
    </xdr:from>
    <xdr:to>
      <xdr:col>13</xdr:col>
      <xdr:colOff>676275</xdr:colOff>
      <xdr:row>495</xdr:row>
      <xdr:rowOff>29446</xdr:rowOff>
    </xdr:to>
    <xdr:sp macro="" textlink="">
      <xdr:nvSpPr>
        <xdr:cNvPr id="4" name="TextBox 3"/>
        <xdr:cNvSpPr txBox="1"/>
      </xdr:nvSpPr>
      <xdr:spPr>
        <a:xfrm>
          <a:off x="209550" y="10858500"/>
          <a:ext cx="6981825" cy="1486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____________________                                 _____________________                            __________________</a:t>
          </a:r>
        </a:p>
        <a:p>
          <a:r>
            <a:rPr lang="en-US" sz="1000" b="1">
              <a:latin typeface="Arial" panose="020B0604020202020204" pitchFamily="34" charset="0"/>
              <a:cs typeface="Arial" panose="020B0604020202020204" pitchFamily="34" charset="0"/>
            </a:rPr>
            <a:t>Chief</a:t>
          </a:r>
          <a:r>
            <a:rPr lang="en-US" sz="1000" b="1" baseline="0">
              <a:latin typeface="Arial" panose="020B0604020202020204" pitchFamily="34" charset="0"/>
              <a:cs typeface="Arial" panose="020B0604020202020204" pitchFamily="34" charset="0"/>
            </a:rPr>
            <a:t> Executive Officer                                   Chief Financial Officer                                           Director </a:t>
          </a:r>
          <a:endParaRPr lang="en-US" sz="1000" b="1">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346</xdr:row>
      <xdr:rowOff>9525</xdr:rowOff>
    </xdr:from>
    <xdr:to>
      <xdr:col>18</xdr:col>
      <xdr:colOff>114300</xdr:colOff>
      <xdr:row>347</xdr:row>
      <xdr:rowOff>25908</xdr:rowOff>
    </xdr:to>
    <xdr:pic>
      <xdr:nvPicPr>
        <xdr:cNvPr id="2" name="Picture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72875" y="11363325"/>
          <a:ext cx="114300" cy="2590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156340</xdr:colOff>
      <xdr:row>0</xdr:row>
      <xdr:rowOff>0</xdr:rowOff>
    </xdr:from>
    <xdr:ext cx="1867498" cy="715437"/>
    <xdr:sp macro="" textlink="">
      <xdr:nvSpPr>
        <xdr:cNvPr id="2" name="Rectangle 1"/>
        <xdr:cNvSpPr/>
      </xdr:nvSpPr>
      <xdr:spPr>
        <a:xfrm>
          <a:off x="156340" y="0"/>
          <a:ext cx="1867498" cy="715437"/>
        </a:xfrm>
        <a:prstGeom prst="rect">
          <a:avLst/>
        </a:prstGeom>
        <a:noFill/>
      </xdr:spPr>
      <xdr:txBody>
        <a:bodyPr wrap="none" lIns="91440" tIns="45720" rIns="91440" bIns="45720">
          <a:no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Deloitte</a:t>
          </a:r>
          <a:r>
            <a:rPr lang="en-US" sz="5400" b="0" cap="none" spc="0">
              <a:ln w="0"/>
              <a:solidFill>
                <a:srgbClr val="92D050"/>
              </a:solidFill>
              <a:effectLst>
                <a:outerShdw blurRad="38100" dist="19050" dir="2700000" algn="tl" rotWithShape="0">
                  <a:schemeClr val="dk1">
                    <a:alpha val="40000"/>
                  </a:schemeClr>
                </a:outerShdw>
              </a:effectLst>
            </a:rPr>
            <a:t>.</a:t>
          </a:r>
        </a:p>
      </xdr:txBody>
    </xdr:sp>
    <xdr:clientData/>
  </xdr:oneCellAnchor>
  <mc:AlternateContent xmlns:mc="http://schemas.openxmlformats.org/markup-compatibility/2006">
    <mc:Choice xmlns:a14="http://schemas.microsoft.com/office/drawing/2010/main" Requires="a14">
      <xdr:twoCellAnchor editAs="oneCell">
        <xdr:from>
          <xdr:col>22</xdr:col>
          <xdr:colOff>209550</xdr:colOff>
          <xdr:row>30</xdr:row>
          <xdr:rowOff>38100</xdr:rowOff>
        </xdr:from>
        <xdr:to>
          <xdr:col>22</xdr:col>
          <xdr:colOff>314325</xdr:colOff>
          <xdr:row>40</xdr:row>
          <xdr:rowOff>104775</xdr:rowOff>
        </xdr:to>
        <xdr:sp macro="" textlink="">
          <xdr:nvSpPr>
            <xdr:cNvPr id="51203" name="Object 3" hidden="1">
              <a:extLst>
                <a:ext uri="{63B3BB69-23CF-44E3-9099-C40C66FF867C}">
                  <a14:compatExt spid="_x0000_s5120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31</xdr:row>
          <xdr:rowOff>28575</xdr:rowOff>
        </xdr:from>
        <xdr:to>
          <xdr:col>22</xdr:col>
          <xdr:colOff>304800</xdr:colOff>
          <xdr:row>40</xdr:row>
          <xdr:rowOff>133350</xdr:rowOff>
        </xdr:to>
        <xdr:sp macro="" textlink="">
          <xdr:nvSpPr>
            <xdr:cNvPr id="51204" name="Object 4" hidden="1">
              <a:extLst>
                <a:ext uri="{63B3BB69-23CF-44E3-9099-C40C66FF867C}">
                  <a14:compatExt spid="_x0000_s5120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37</xdr:row>
          <xdr:rowOff>0</xdr:rowOff>
        </xdr:from>
        <xdr:to>
          <xdr:col>35</xdr:col>
          <xdr:colOff>228600</xdr:colOff>
          <xdr:row>41</xdr:row>
          <xdr:rowOff>19050</xdr:rowOff>
        </xdr:to>
        <xdr:sp macro="" textlink="">
          <xdr:nvSpPr>
            <xdr:cNvPr id="51205" name="Object 5" hidden="1">
              <a:extLst>
                <a:ext uri="{63B3BB69-23CF-44E3-9099-C40C66FF867C}">
                  <a14:compatExt spid="_x0000_s5120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21</xdr:row>
          <xdr:rowOff>28575</xdr:rowOff>
        </xdr:from>
        <xdr:to>
          <xdr:col>35</xdr:col>
          <xdr:colOff>228600</xdr:colOff>
          <xdr:row>21</xdr:row>
          <xdr:rowOff>152400</xdr:rowOff>
        </xdr:to>
        <xdr:sp macro="" textlink="">
          <xdr:nvSpPr>
            <xdr:cNvPr id="51206" name="Object 6" hidden="1">
              <a:extLst>
                <a:ext uri="{63B3BB69-23CF-44E3-9099-C40C66FF867C}">
                  <a14:compatExt spid="_x0000_s5120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averi\quarter\WINDOWS\Desktop\AamirZaveri\Accounts\QuartRepo\1st%20Quarter\1st%20QuarterAccoun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ff1\affc\WINDOWS\TEMP\My%20Documents\er\AUG03\My%20Documents\fmmfmsl\FMMdec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DOWS\BS300603-QTR-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kpptrainee\NJI\WINDOWS\TEMP\Farooq\DATA\ACCOUNTS\2001\IGI-Insurance(InvestmentNo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krand\users_2006_2007\Ahsan\Personal\BasicFinancialAnalysisModel(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WINDOWS\BS3006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server\new%20audit%202\alfalh%20GHP\finalization\BF\Finalization\Prelim-Final%20Analytical%20Review-%20B%20F%20Modara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erguson\AFF%20SHARED\AFF%20SHARED\talha%20a%20ghani\JAN%202008\CFS\Non-Statistical%20Sampling%20Template%20CF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WINDOWS\BS300603-CYRU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_SERVER\Audit\My%20Documents\Final%20Accounts%202001As%20per%20Auditor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Documents%20and%20Settings\hbhatda\Desktop\IGI\Other%20clients\IGI%20Insurance%20Limited\Accounts\Accounts%20Final\Accounts%20IGI%20-%20June%2030%202008%20(Formatted)%207%20Aug%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myasco\statement%20of%20changes%20in%20equity.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k-khifsr01\audit\Documents%20and%20Settings\Abhatti\Desktop\pl888122_kpmg%20sampling%20plan_fsa_se_vs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hmed-ali\Clientdata\Documents%20and%20Settings\auditors\Desktop\sarah\Investment%20in%20shares%20-%20HFT%20and%20AFS(emai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hmed-ali\Clientdata\Schedule%202002-03\SCHD2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k-khifsr01\AuditB06\Accounts-kp\stand%20alone\September%202006\FBL%20Balance%20With%20%20a%20%20CDB%2030.09.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server\audit\Auditors\final%20accounts%202001Complete%20Adjustmen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2.168.1.4\Umair%20Work\DOCUME~1\SAUD~1.AHM\LOCALS~1\TEMP\WEEKLY\WEEKLY-2006\June-2006\New%20weekly-17-June-20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RV\Departments\Printing\Users\salman.hashmi\AppData\Local\Microsoft\Windows\Temporary%20Internet%20Files\Content.Outlook\26SIRXB6\ferguson\Documents%20and%20Settings\muhammad.khorasani\Desktop\Templates\investments\TOC%20Template_investment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k-khifsr01\AUDIT\Documents%20and%20Settings\User\Desktop\Half%20Yearly%20accounts%20Dec%202007\Mail%20from%20Madiha%20after%20AFS%20change\Documents%20and%20Settings\NAkhter\Desktop\NOMAN%20INTERIM%202007\FOR%20MUZAMMIL\APIF\Related%20pty%20Muz%20APIF%20accounts%20final%20by%20noma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iqbal%20sharif%20back%20up\E%20%20back\OVS%2003\June%2003\Book1.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Worksheet%20in%203121%20Purchase%20of%20securities%20-%20CMA%20Sampling%20&amp;%20Verification"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y%20Documents\OVS-2001\My%20Documents\XeeShan\temp\OVERSEAS%20AL%20BKU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72.16.19.75\c$\Audit%202006\Half%20yearly%20review\Osama%20Shaukat\UBL%20investments\Investments%202005\Prior%20Year%20Portions\Investment%20Dec%202004\WINDOWS\BS300603-QT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0.10.1.10\Documents%20and%20Settings\AShamim\My%20Documents\pric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lahore\public\General\Audit\IZ\'AAIG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hawaja\account-bal-\FINAL%20ACCOUNTS2001\Final%20Accounts%202001As%20per%20Auditor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amirzaveri\mcr-working\SEPublishAccountsOsam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fauditors\sharing\Audit%20Back%20up\ubl\FJ%20June\T_Bills%20PIB%20FIB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For%20Sana%20-%20Updated\PPF%20Accounts%20June%202015%20-%20Updated%20.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5241%20Substantive%20Verifiaction%20of%20Investment%20in%20Marketable%20Securities-HFT"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ileserver\Audit\half%20reveiw%2031%20Dec%202010\finalization\BF\Finalization\Prelim-Final%20Analytical%20Review-%20B%20F%20Modara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WINDOWS\TEMP\Farooq\DATA\ACCOUNTS\2001\IGI-Insurance(InvestmentNo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md\d_samd\AAMIR\CASH%20RECOVERY\Rec-1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10.1.10\Users\amin.virani\AppData\Local\Microsoft\Windows\INetCache\Content.Outlook\SE9D9M4S\CMOP\MCB%20Cash%20Management%20Optimizer%20Dec%2017.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10.1.10\Users\mmeghani001\Desktop\Final%20Accounts\full%20final\CMOP\MCB%20CMOP%20v5.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0.1.10\Users\nmuhammadsaleem\Desktop\cmop\Copy%20of%2028100.02%20Draft%20Financial%20Statements%20for%20the%20period%20ended%20Decmeber%2031%202017(1-5-2018%2011.49.54%20AM).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ile-srv\Fund%20Accounting%202012-13\FY%202020%20-%202021\PIEF\TFC%20Valuation\September%202020\29-09-2020%20-%20PIEF%20TF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hore\public\General\Audit\IZ\Income%20Fixed%20Assets%20head%20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k-khifsr01\audit05\-acc\Documents%20and%20Settings\papa\Local%20Settings\Temporary%20Internet%20Files\Content.IE5\1ZZ5VT7C\WINDOWS\TEMP\Farooq\DATA\ACCOUNTS\2001\IGI-Insurance(InvestmentNo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APR-02%20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tesham\shared\WINDOWS\TEMP\OVS-2002\%20LS%20APR%2002%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hawaja\account-bal-\FINAL%20ACCOUNTS2001\JUNE2002Accou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otes4-8.2"/>
      <sheetName val="Note1-3"/>
      <sheetName val="Stat-Equity"/>
      <sheetName val="DirRep"/>
      <sheetName val="CashFlow"/>
      <sheetName val="Balancesheet"/>
      <sheetName val="last qrt2001"/>
      <sheetName val="Profit&amp;Loss"/>
      <sheetName val="last qrt2000"/>
      <sheetName val="Sheet1"/>
      <sheetName val="62"/>
      <sheetName val="Notes4-8_2"/>
      <sheetName val="last_qrt2001"/>
      <sheetName val="last_qrt2000"/>
      <sheetName val="Sheet1_"/>
      <sheetName val="Note6-8_2"/>
      <sheetName val="Notes35-36"/>
      <sheetName val="A"/>
      <sheetName val="Consolidated"/>
      <sheetName val="Assets"/>
      <sheetName val="BS-JPN"/>
      <sheetName val="BK"/>
      <sheetName val="Cash_Flow__HOH"/>
      <sheetName val="CIB2"/>
      <sheetName val="NOSTRO12"/>
      <sheetName val="INC-EXP"/>
      <sheetName val="Parameters"/>
      <sheetName val="Summary"/>
      <sheetName val="RC-0997"/>
      <sheetName val="Sheet4"/>
      <sheetName val="new_sum"/>
      <sheetName val="Investments"/>
      <sheetName val="fx_130"/>
      <sheetName val="Lead"/>
      <sheetName val="blot"/>
      <sheetName val="FIB-TFC"/>
      <sheetName val="Currency"/>
      <sheetName val="CP_STATytd"/>
      <sheetName val="Rentals-SAM_KHI"/>
      <sheetName val="Letter"/>
      <sheetName val="Premier"/>
      <sheetName val="Dep_Allocation"/>
      <sheetName val="A-C_CODE_&amp;_NAME"/>
      <sheetName val="WIP-YRN"/>
      <sheetName val="Macro1"/>
      <sheetName val="SAN"/>
      <sheetName val="DISB"/>
      <sheetName val="Goodwill"/>
      <sheetName val="Min.Tax"/>
      <sheetName val="Current Tax"/>
      <sheetName val="Historical Losses (2)"/>
      <sheetName val="Data Validation List"/>
      <sheetName val="Credit Review"/>
      <sheetName val="Lists"/>
      <sheetName val="TRAN"/>
      <sheetName val="Notes4-8_21"/>
      <sheetName val="last_qrt20011"/>
      <sheetName val="last_qrt20001"/>
      <sheetName val="Data_Validation_List"/>
      <sheetName val="Min_Tax"/>
      <sheetName val="Current_Tax"/>
      <sheetName val="Historical_Losses_(2)"/>
      <sheetName val="Sheet3"/>
      <sheetName val="1st QuarterAccounts"/>
      <sheetName val=""/>
      <sheetName val="Disposals"/>
      <sheetName val="Link with Kibor"/>
      <sheetName val="Link with Advances"/>
      <sheetName val="P &amp; L"/>
      <sheetName val="EMOF Portfolio"/>
      <sheetName val="Notes4-8_22"/>
      <sheetName val="last_qrt20012"/>
      <sheetName val="last_qrt20002"/>
      <sheetName val="Data_Validation_List1"/>
      <sheetName val="Min_Tax1"/>
      <sheetName val="Current_Tax1"/>
      <sheetName val="Historical_Losses_(2)1"/>
      <sheetName val="Credit_Review"/>
      <sheetName val="1st_QuarterAccounts"/>
      <sheetName val="CWS1"/>
      <sheetName val="CWSSUM1"/>
      <sheetName val="TKT"/>
      <sheetName val="TKTSUM"/>
      <sheetName val="Sheet2"/>
      <sheetName val="CLV assumptions"/>
      <sheetName val="Custom_LLR"/>
      <sheetName val="LLR"/>
      <sheetName val="DATA"/>
      <sheetName val="CF wrking"/>
      <sheetName val="Grouping"/>
      <sheetName val="(E-1)-Lead Sheet"/>
      <sheetName val="Cash Flow  HOH"/>
      <sheetName val=" Travel Club"/>
      <sheetName val="Child"/>
      <sheetName val="(A-1)-Lead Sheet"/>
      <sheetName val="acct"/>
      <sheetName val="1st%20QuarterAccounts"/>
      <sheetName val="Bank Data"/>
      <sheetName val="AL905"/>
      <sheetName val="Code"/>
      <sheetName val="Holidays"/>
      <sheetName val="Old Code"/>
      <sheetName val="TB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sheetName val="BS final"/>
      <sheetName val="PL"/>
      <sheetName val="Sheet1"/>
      <sheetName val="Dep"/>
      <sheetName val="28"/>
      <sheetName val="BS DEC02"/>
      <sheetName val="PL DEC02"/>
      <sheetName val="notes DEC02"/>
      <sheetName val="pl NOTES"/>
      <sheetName val="Sheet4"/>
      <sheetName val="Investments"/>
      <sheetName val="MAY 1240001"/>
      <sheetName val="Tables"/>
      <sheetName val="Rating"/>
      <sheetName val="BS_final"/>
      <sheetName val="BS_DEC02"/>
      <sheetName val="PL_DEC02"/>
      <sheetName val="notes_DEC02"/>
      <sheetName val="pl_NOTES"/>
      <sheetName val="BS_final1"/>
      <sheetName val="BS_DEC021"/>
      <sheetName val="PL_DEC021"/>
      <sheetName val="notes_DEC021"/>
      <sheetName val="pl_NOTES1"/>
      <sheetName val="BS_final2"/>
      <sheetName val="BS_DEC022"/>
      <sheetName val="PL_DEC022"/>
      <sheetName val="notes_DEC022"/>
      <sheetName val="pl_NOTES2"/>
      <sheetName val="MAY_1240001"/>
      <sheetName val="Note 13.1 &amp; 13.2"/>
      <sheetName val="Disclosure"/>
      <sheetName val="statacc"/>
      <sheetName val="BS_final3"/>
      <sheetName val="BS_DEC023"/>
      <sheetName val="PL_DEC023"/>
      <sheetName val="notes_DEC023"/>
      <sheetName val="pl_NOTES3"/>
      <sheetName val="MAY_12400011"/>
      <sheetName val="Consolidated"/>
      <sheetName val="DATA"/>
      <sheetName val="JSCL TB"/>
      <sheetName val="Note-14"/>
      <sheetName val="ProfitProv"/>
      <sheetName val="SHF_1026_EXP"/>
      <sheetName val="SITE_1001_P_L"/>
      <sheetName val="CLM_1012_P_L"/>
      <sheetName val="SHF_1026_P_L"/>
      <sheetName val="KRG_1002_P_L"/>
      <sheetName val="CliftonMain_1003_P_L"/>
      <sheetName val="KSE_1010_P_L"/>
      <sheetName val="JODIA_1011_P_L"/>
      <sheetName val="JODIA_1011_EXP"/>
      <sheetName val="CLM_1012_EXP"/>
      <sheetName val="SITE_1001_EXP"/>
      <sheetName val="KRG_1002_EXP"/>
      <sheetName val="CliftonMain_1003_EXP"/>
      <sheetName val="SHF-1026-EXP"/>
      <sheetName val="SITE-1001-P&amp;L"/>
      <sheetName val="CLM-1012-P&amp;L"/>
      <sheetName val="SHF-1026-P&amp;L"/>
      <sheetName val="KRG-1002-P&amp;L"/>
      <sheetName val="CliftonMain-1003-P&amp;L"/>
      <sheetName val="KSE-1010-P&amp;L"/>
      <sheetName val="JODIA-1011-P&amp;L"/>
      <sheetName val="JODIA-1011-EXP"/>
      <sheetName val="CLM-1012-EXP"/>
      <sheetName val="SITE-1001-EXP"/>
      <sheetName val="KRG-1002-EXP"/>
      <sheetName val="CliftonMain-1003-EXP"/>
      <sheetName val="Corporate"/>
      <sheetName val="Middle Market"/>
      <sheetName val="SME"/>
      <sheetName val="Bill"/>
      <sheetName val="READING"/>
      <sheetName val="Sheet6"/>
      <sheetName val="New A-Rept"/>
      <sheetName val="BVPS"/>
      <sheetName val="Cap_Empl"/>
      <sheetName val="EBITDA"/>
      <sheetName val="EV"/>
      <sheetName val="Gross_Yield"/>
      <sheetName val="Start &amp;_EPS"/>
      <sheetName val="Net_Debt"/>
      <sheetName val="PE"/>
      <sheetName val="Recomm"/>
      <sheetName val="Scoping"/>
      <sheetName val="Sheet3"/>
      <sheetName val="Furniture"/>
      <sheetName val="Sheet2"/>
      <sheetName val="A"/>
      <sheetName val="NORMAL"/>
      <sheetName val="bs&amp;Pl"/>
      <sheetName val="admin cross"/>
      <sheetName val="Manu Crss"/>
      <sheetName val="Requirements"/>
      <sheetName val="Storage"/>
      <sheetName val="Financial"/>
      <sheetName val="working"/>
      <sheetName val="Deposit"/>
      <sheetName val="BS"/>
      <sheetName val="BS_final4"/>
      <sheetName val="BS_DEC024"/>
      <sheetName val="PL_DEC024"/>
      <sheetName val="notes_DEC024"/>
      <sheetName val="pl_NOTES4"/>
      <sheetName val="MAY_12400012"/>
      <sheetName val="JSCL_TB"/>
      <sheetName val="Note_13_1_&amp;_13_2"/>
      <sheetName val="dep on disposals"/>
      <sheetName val="Links"/>
      <sheetName val="plan. analytical"/>
      <sheetName val="lp"/>
      <sheetName val="Code"/>
      <sheetName val="DS_details"/>
      <sheetName val="Actual"/>
      <sheetName val="Budget"/>
      <sheetName val="List"/>
      <sheetName val="PrevYear"/>
      <sheetName val="Middle_Market"/>
      <sheetName val="Data Sheet - Financials"/>
      <sheetName val="Data Sheet - Others"/>
      <sheetName val="Adj"/>
      <sheetName val="Elim"/>
      <sheetName val="BS2"/>
      <sheetName val="BS1"/>
      <sheetName val="Abu Dhabi"/>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sheetData sheetId="37"/>
      <sheetData sheetId="38"/>
      <sheetData sheetId="39"/>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MAT-0303"/>
      <sheetName val="INDEX"/>
      <sheetName val="MAT-MANUAL"/>
      <sheetName val="DOMESTIC-AL"/>
      <sheetName val="BSDOMOVS"/>
      <sheetName val="Balance Sheet"/>
      <sheetName val="BSCOMBINED "/>
      <sheetName val="Note 1-7-A"/>
      <sheetName val="Note16-20-A"/>
      <sheetName val="Balance Sheet-A"/>
      <sheetName val="Profit&amp;Loss-Rev"/>
      <sheetName val="Profit&amp;Loss-Rev-A"/>
      <sheetName val="Cash flow-A"/>
      <sheetName val="Changes in equity-A"/>
      <sheetName val="Note 1-7"/>
      <sheetName val="Sheet1-A"/>
      <sheetName val="Note 8-11"/>
      <sheetName val="Note 8-11-A"/>
      <sheetName val="Note 12-15"/>
      <sheetName val="Note 12-15-A"/>
      <sheetName val="Note16-20"/>
      <sheetName val="Note16-20 (2)"/>
      <sheetName val="Note 21 - 23"/>
      <sheetName val="Note 10-10.1"/>
      <sheetName val="Note 10.2-10.7"/>
      <sheetName val="Note 11 - 12.1"/>
      <sheetName val="Note 16.2-18"/>
      <sheetName val="Note 22-23"/>
      <sheetName val="Note 28.1-30"/>
      <sheetName val="Note 37-38"/>
      <sheetName val="Note 24-A"/>
      <sheetName val="Note 24"/>
      <sheetName val="Note 25"/>
      <sheetName val="Note 25-A"/>
      <sheetName val="Note 26 "/>
      <sheetName val="Note 26-A"/>
      <sheetName val="Note 27"/>
      <sheetName val="Note 28"/>
      <sheetName val="Note 28-A"/>
      <sheetName val="Note 29-30"/>
      <sheetName val="Contingencies-A"/>
      <sheetName val="Note 42.2-44"/>
      <sheetName val="Sheet2"/>
      <sheetName val="BS-OVS"/>
      <sheetName val="Adj-Note"/>
      <sheetName val="Balance_Sheet"/>
      <sheetName val="BSCOMBINED_"/>
      <sheetName val="Note_1-7-A"/>
      <sheetName val="Balance_Sheet-A"/>
      <sheetName val="Cash_flow-A"/>
      <sheetName val="Changes_in_equity-A"/>
      <sheetName val="Note_1-7"/>
      <sheetName val="Note_8-11"/>
      <sheetName val="Note_8-11-A"/>
      <sheetName val="Note_12-15"/>
      <sheetName val="Note_12-15-A"/>
      <sheetName val="Note16-20_(2)"/>
      <sheetName val="Note_21_-_23"/>
      <sheetName val="Note_10-10_1"/>
      <sheetName val="Note_10_2-10_7"/>
      <sheetName val="Note_11_-_12_1"/>
      <sheetName val="Note_16_2-18"/>
      <sheetName val="Note_22-23"/>
      <sheetName val="Note_28_1-30"/>
      <sheetName val="Note_37-38"/>
      <sheetName val="Note_24-A"/>
      <sheetName val="Note_24"/>
      <sheetName val="Note_25"/>
      <sheetName val="Note_25-A"/>
      <sheetName val="Note_26_"/>
      <sheetName val="Note_26-A"/>
      <sheetName val="Note_27"/>
      <sheetName val="Note_28"/>
      <sheetName val="Note_28-A"/>
      <sheetName val="Note_29-30"/>
      <sheetName val="Note_42_2-44"/>
      <sheetName val="Balance_Sheet1"/>
      <sheetName val="BSCOMBINED_1"/>
      <sheetName val="Note_1-7-A1"/>
      <sheetName val="Balance_Sheet-A1"/>
      <sheetName val="Cash_flow-A1"/>
      <sheetName val="Changes_in_equity-A1"/>
      <sheetName val="Note_1-71"/>
      <sheetName val="Note_8-111"/>
      <sheetName val="Note_8-11-A1"/>
      <sheetName val="Note_12-151"/>
      <sheetName val="Note_12-15-A1"/>
      <sheetName val="Note16-20_(2)1"/>
      <sheetName val="Note_21_-_231"/>
      <sheetName val="Note_10-10_11"/>
      <sheetName val="Note_10_2-10_71"/>
      <sheetName val="Note_11_-_12_11"/>
      <sheetName val="Note_16_2-181"/>
      <sheetName val="Note_22-231"/>
      <sheetName val="Note_28_1-301"/>
      <sheetName val="Note_37-381"/>
      <sheetName val="Note_24-A1"/>
      <sheetName val="Note_241"/>
      <sheetName val="Note_251"/>
      <sheetName val="Note_25-A1"/>
      <sheetName val="Note_26_1"/>
      <sheetName val="Note_26-A1"/>
      <sheetName val="Note_271"/>
      <sheetName val="Note_281"/>
      <sheetName val="Note_28-A1"/>
      <sheetName val="Note_29-301"/>
      <sheetName val="Note_42_2-441"/>
      <sheetName val="December 06"/>
      <sheetName val="November 06"/>
      <sheetName val="Code"/>
      <sheetName val="PKRV"/>
      <sheetName val="FEb"/>
      <sheetName val="Lookups"/>
      <sheetName val="Implied Rate"/>
      <sheetName val="Data-922"/>
      <sheetName val="Sheet4"/>
      <sheetName val="FX"/>
      <sheetName val="Parameters"/>
      <sheetName val="BAHRAIN"/>
      <sheetName val="DD110"/>
      <sheetName val="O.Profit(aferalloc)"/>
      <sheetName val="Ranges"/>
      <sheetName val="A-C CODE &amp; NAME"/>
      <sheetName val="Macro1"/>
      <sheetName val="DISTRIBUTION"/>
      <sheetName val="SUMMARY"/>
      <sheetName val="acct"/>
      <sheetName val="A"/>
      <sheetName val="Adj"/>
      <sheetName val="Elim"/>
      <sheetName val="Balance_Sheet2"/>
      <sheetName val="BSCOMBINED_2"/>
      <sheetName val="Note_1-7-A2"/>
      <sheetName val="Balance_Sheet-A2"/>
      <sheetName val="Cash_flow-A2"/>
      <sheetName val="Changes_in_equity-A2"/>
      <sheetName val="Note_1-72"/>
      <sheetName val="Note_8-112"/>
      <sheetName val="Note_8-11-A2"/>
      <sheetName val="Note_12-152"/>
      <sheetName val="Note_12-15-A2"/>
      <sheetName val="Note16-20_(2)2"/>
      <sheetName val="Note_21_-_232"/>
      <sheetName val="Note_10-10_12"/>
      <sheetName val="Note_10_2-10_72"/>
      <sheetName val="Note_11_-_12_12"/>
      <sheetName val="Note_16_2-182"/>
      <sheetName val="Note_22-232"/>
      <sheetName val="Note_28_1-302"/>
      <sheetName val="Note_37-382"/>
      <sheetName val="Note_24-A2"/>
      <sheetName val="Note_242"/>
      <sheetName val="Note_252"/>
      <sheetName val="Note_25-A2"/>
      <sheetName val="Note_26_2"/>
      <sheetName val="Note_26-A2"/>
      <sheetName val="Note_272"/>
      <sheetName val="Note_282"/>
      <sheetName val="Note_28-A2"/>
      <sheetName val="Note_29-302"/>
      <sheetName val="Note_42_2-442"/>
      <sheetName val="December_06"/>
      <sheetName val="November_06"/>
      <sheetName val="Implied_Rate"/>
      <sheetName val="O_Profit(aferalloc)"/>
      <sheetName val="A-C_CODE_&amp;_NAME"/>
      <sheetName val="RATES"/>
      <sheetName val="BK"/>
      <sheetName val="BR"/>
      <sheetName val="Note-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refreshError="1"/>
      <sheetData sheetId="169" refreshError="1"/>
      <sheetData sheetId="17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
      <sheetName val="Balance-Sheet"/>
      <sheetName val="P&amp;L-P&amp;LApp."/>
      <sheetName val="Revenue-Fire-Marine-Motor"/>
      <sheetName val="Cash Flow"/>
      <sheetName val="Equity"/>
      <sheetName val="Notes 1to7"/>
      <sheetName val="Note 8-10"/>
      <sheetName val="Note 11&amp;11.1"/>
      <sheetName val="Notes 12-15"/>
      <sheetName val="Note 16"/>
      <sheetName val="Note 17-19"/>
      <sheetName val="Classified Summary of Assets"/>
      <sheetName val="Investments"/>
      <sheetName val="A"/>
      <sheetName val="Revenue_Fire_Marine_Motor"/>
      <sheetName val="P&amp;L-P&amp;LApp_"/>
      <sheetName val="Cash_Flow"/>
      <sheetName val="Notes_1to7"/>
      <sheetName val="Note_8-10"/>
      <sheetName val="Note_11&amp;11_1"/>
      <sheetName val="Notes_12-15"/>
      <sheetName val="Note_16"/>
      <sheetName val="Note_17-19"/>
      <sheetName val="Classified_Summary_of_Assets"/>
      <sheetName val="Lead"/>
      <sheetName val="Links"/>
      <sheetName val="ac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US$"/>
      <sheetName val="Fin Stats"/>
      <sheetName val="Cash Flow"/>
      <sheetName val="Altman Z"/>
      <sheetName val="Summary"/>
      <sheetName val="Data"/>
    </sheetNames>
    <sheetDataSet>
      <sheetData sheetId="0"/>
      <sheetData sheetId="1"/>
      <sheetData sheetId="2">
        <row r="29">
          <cell r="A29">
            <v>0</v>
          </cell>
        </row>
      </sheetData>
      <sheetData sheetId="3"/>
      <sheetData sheetId="4"/>
      <sheetData sheetId="5"/>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CONTENTS"/>
      <sheetName val="BSDOMOVS"/>
      <sheetName val="BSCOMBINED "/>
      <sheetName val="Balance Sheet"/>
      <sheetName val="Profit&amp;Loss-Rev"/>
      <sheetName val="Note 1-7"/>
      <sheetName val="Note 8-11"/>
      <sheetName val="Note 12-15"/>
      <sheetName val="Note16-20"/>
      <sheetName val="Note 10-10.1"/>
      <sheetName val="Note 10.2-10.7"/>
      <sheetName val="Note 11 - 12.1"/>
      <sheetName val="Note 16.2-18"/>
      <sheetName val="Note 22-23"/>
      <sheetName val="Note 28.1-30"/>
      <sheetName val="Note 21 - 23"/>
      <sheetName val="Note 37-38"/>
      <sheetName val="Note 24"/>
      <sheetName val="Note 25"/>
      <sheetName val="Note 26 "/>
      <sheetName val="Note 27"/>
      <sheetName val="Note 28"/>
      <sheetName val="Note 29-30"/>
      <sheetName val="MAT-0602"/>
      <sheetName val="Note 28A"/>
      <sheetName val="Note 42.2-44"/>
      <sheetName val="Sheet2"/>
      <sheetName val="I-BR"/>
      <sheetName val="I-B"/>
      <sheetName val="FE - Summary - STD"/>
      <sheetName val="Lookups"/>
      <sheetName val="Abu Dhabi"/>
      <sheetName val="BS - 2"/>
      <sheetName val="Data-904"/>
      <sheetName val="Investments"/>
      <sheetName val="AL"/>
      <sheetName val="Notes"/>
      <sheetName val="ASSET QLTY"/>
      <sheetName val="Sheet1"/>
      <sheetName val="March 110"/>
      <sheetName val="Feb"/>
      <sheetName val="MarchSL904"/>
      <sheetName val="BS-OV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structions"/>
      <sheetName val="Input-Qtrly"/>
      <sheetName val="Input-YTD and Expected"/>
      <sheetName val="Flux-Current Qtr."/>
      <sheetName val="Flux-YTD"/>
      <sheetName val="Ratios-Current Qtr."/>
      <sheetName val="Ratios-YTD"/>
      <sheetName val="Common Size-Current Qtr."/>
      <sheetName val="Common Size-YTD"/>
      <sheetName val="Module1"/>
      <sheetName val="Month End Foreign Currency"/>
    </sheetNames>
    <sheetDataSet>
      <sheetData sheetId="0" refreshError="1"/>
      <sheetData sheetId="1" refreshError="1"/>
      <sheetData sheetId="2">
        <row r="8">
          <cell r="E8" t="str">
            <v>Practice US C Corporation</v>
          </cell>
        </row>
        <row r="14">
          <cell r="F14">
            <v>5000</v>
          </cell>
        </row>
        <row r="16">
          <cell r="F16">
            <v>0</v>
          </cell>
        </row>
        <row r="17">
          <cell r="F17">
            <v>0</v>
          </cell>
        </row>
        <row r="18">
          <cell r="F18">
            <v>0</v>
          </cell>
        </row>
        <row r="20">
          <cell r="F20">
            <v>5000</v>
          </cell>
        </row>
        <row r="22">
          <cell r="F22">
            <v>5000</v>
          </cell>
        </row>
        <row r="24">
          <cell r="F24">
            <v>0</v>
          </cell>
        </row>
        <row r="27">
          <cell r="F27">
            <v>0</v>
          </cell>
        </row>
        <row r="28">
          <cell r="F28">
            <v>0</v>
          </cell>
        </row>
        <row r="34">
          <cell r="F34">
            <v>0</v>
          </cell>
        </row>
        <row r="43">
          <cell r="F43">
            <v>0</v>
          </cell>
        </row>
        <row r="45">
          <cell r="F45">
            <v>0</v>
          </cell>
        </row>
        <row r="48">
          <cell r="F48">
            <v>37256</v>
          </cell>
        </row>
        <row r="51">
          <cell r="F51">
            <v>365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Non-Statistical Sampling"/>
      <sheetName val="Instructions"/>
      <sheetName val="First Sample Results"/>
      <sheetName val="DropDown"/>
      <sheetName val="Currency"/>
      <sheetName val="last qrt2001"/>
      <sheetName val="Non-Statistical_Sampling"/>
      <sheetName val="First_Sample_Results"/>
      <sheetName val="TRAN"/>
      <sheetName val="AUM Analysis"/>
    </sheetNames>
    <sheetDataSet>
      <sheetData sheetId="0"/>
      <sheetData sheetId="1"/>
      <sheetData sheetId="2"/>
      <sheetData sheetId="3"/>
      <sheetData sheetId="4">
        <row r="1">
          <cell r="B1" t="str">
            <v>?</v>
          </cell>
          <cell r="D1" t="str">
            <v>?</v>
          </cell>
          <cell r="H1" t="str">
            <v>Ratio Estimation</v>
          </cell>
        </row>
        <row r="2">
          <cell r="B2" t="str">
            <v>Low</v>
          </cell>
          <cell r="D2" t="str">
            <v>Random</v>
          </cell>
          <cell r="H2" t="str">
            <v>Difference Estimation</v>
          </cell>
        </row>
        <row r="3">
          <cell r="B3" t="str">
            <v>Moderate</v>
          </cell>
          <cell r="D3" t="str">
            <v>Haphazard</v>
          </cell>
        </row>
        <row r="4">
          <cell r="B4" t="str">
            <v>High</v>
          </cell>
          <cell r="D4" t="str">
            <v>Systematic</v>
          </cell>
        </row>
      </sheetData>
      <sheetData sheetId="5">
        <row r="3">
          <cell r="C3" t="str">
            <v>Rupee</v>
          </cell>
        </row>
        <row r="9">
          <cell r="B9" t="str">
            <v>Currency?</v>
          </cell>
        </row>
        <row r="10">
          <cell r="B10" t="str">
            <v>AUS$</v>
          </cell>
        </row>
        <row r="11">
          <cell r="B11" t="str">
            <v>CAN$</v>
          </cell>
        </row>
        <row r="12">
          <cell r="B12" t="str">
            <v>Euro</v>
          </cell>
        </row>
        <row r="13">
          <cell r="B13" t="str">
            <v>Pound</v>
          </cell>
        </row>
        <row r="14">
          <cell r="B14" t="str">
            <v>US$</v>
          </cell>
        </row>
        <row r="15">
          <cell r="B15" t="str">
            <v>Yen</v>
          </cell>
        </row>
        <row r="16">
          <cell r="B16" t="str">
            <v>Colon</v>
          </cell>
        </row>
        <row r="17">
          <cell r="B17" t="str">
            <v>Dong</v>
          </cell>
        </row>
        <row r="18">
          <cell r="B18" t="str">
            <v>Franc</v>
          </cell>
        </row>
        <row r="19">
          <cell r="B19" t="str">
            <v>Kip</v>
          </cell>
        </row>
        <row r="20">
          <cell r="B20" t="str">
            <v>Kroner</v>
          </cell>
        </row>
        <row r="21">
          <cell r="B21" t="str">
            <v>Lira</v>
          </cell>
        </row>
        <row r="22">
          <cell r="B22" t="str">
            <v>Naira</v>
          </cell>
        </row>
        <row r="23">
          <cell r="B23" t="str">
            <v>Reais</v>
          </cell>
        </row>
        <row r="24">
          <cell r="B24" t="str">
            <v>Rubles</v>
          </cell>
        </row>
        <row r="25">
          <cell r="B25" t="str">
            <v>Rupee</v>
          </cell>
        </row>
        <row r="26">
          <cell r="B26" t="str">
            <v>Sequel</v>
          </cell>
        </row>
        <row r="27">
          <cell r="B27" t="str">
            <v>Thai</v>
          </cell>
        </row>
        <row r="28">
          <cell r="B28" t="str">
            <v>Tugrik</v>
          </cell>
        </row>
        <row r="29">
          <cell r="B29" t="str">
            <v>Won</v>
          </cell>
        </row>
        <row r="30">
          <cell r="B30" t="str">
            <v>Yuan</v>
          </cell>
        </row>
        <row r="31">
          <cell r="B31" t="str">
            <v>Other</v>
          </cell>
        </row>
      </sheetData>
      <sheetData sheetId="6" refreshError="1"/>
      <sheetData sheetId="7"/>
      <sheetData sheetId="8"/>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BS-DOM"/>
      <sheetName val="BS-OVS"/>
      <sheetName val="BSCOMBINED "/>
      <sheetName val="Balance Sheet-Auditors"/>
      <sheetName val="Profit&amp;Loss-Auditors"/>
      <sheetName val="Changes in equity-A"/>
      <sheetName val="Note 1-5-A"/>
      <sheetName val="Note 6-8 A"/>
      <sheetName val="Note 9-11-A"/>
      <sheetName val="Note 12-14-A"/>
      <sheetName val="Note 15-A"/>
      <sheetName val="Note16-20-A"/>
      <sheetName val="Note 24.1-A"/>
      <sheetName val="Note 28-A"/>
      <sheetName val="Cash flow-A"/>
      <sheetName val="Note 10-10.1"/>
      <sheetName val="Note 10.2-10.7"/>
      <sheetName val="Note 11 - 12.1"/>
      <sheetName val="Note 16.2-18"/>
      <sheetName val="Note 22-23"/>
      <sheetName val="Note 28.1-30"/>
      <sheetName val="Note 37-38"/>
      <sheetName val="Note 24-A"/>
      <sheetName val="Note 25-A"/>
      <sheetName val="Note 26-A"/>
      <sheetName val="Note 42.2-44"/>
      <sheetName val="Note 21-A"/>
      <sheetName val="Note 22,23-A"/>
      <sheetName val="Sheet3"/>
      <sheetName val="March 110"/>
      <sheetName val="Feb"/>
      <sheetName val="MarchSL904"/>
      <sheetName val="BSDOMOVS"/>
      <sheetName val="INPU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t²"/>
      <sheetName val="nt__2"/>
      <sheetName val="nt__3"/>
      <sheetName val="nt__4"/>
      <sheetName val="Total Adjustments"/>
      <sheetName val="Assets (2)"/>
      <sheetName val="Balance Sheet"/>
      <sheetName val="p&amp;l"/>
      <sheetName val="CashFlow"/>
      <sheetName val="Statement of Ch"/>
      <sheetName val="Notes1-5"/>
      <sheetName val="Note6-8.2"/>
      <sheetName val="Note9-9.6"/>
      <sheetName val="Note 9.7-9.8"/>
      <sheetName val="Notes10-10.4.2"/>
      <sheetName val="10.5-11.3"/>
      <sheetName val="Note 12"/>
      <sheetName val="Note12.3-15.1"/>
      <sheetName val="Note16-21.1"/>
      <sheetName val="Note22-22.7"/>
      <sheetName val="Notes25-26.1"/>
      <sheetName val="Notes26.2-32"/>
      <sheetName val="Notes33-34"/>
      <sheetName val="Notes39-40"/>
      <sheetName val="Notes41-42.1"/>
      <sheetName val="Notes41-42.1 (2)"/>
      <sheetName val="Notes42.2-44"/>
      <sheetName val="Note 45"/>
      <sheetName val="Annexure"/>
      <sheetName val="affair"/>
      <sheetName val="inc-exp"/>
      <sheetName val="pinex"/>
      <sheetName val="Currency-expo"/>
      <sheetName val="YieldAd"/>
      <sheetName val="YieldAd-net"/>
      <sheetName val="MaturLiabili"/>
      <sheetName val="MaturiAssets"/>
      <sheetName val="YielDeposit"/>
      <sheetName val="Sheet1"/>
      <sheetName val="Sheet2"/>
      <sheetName val="Sheet3"/>
      <sheetName val="Notes(New)39-40"/>
      <sheetName val="Sheet6"/>
      <sheetName val="Deferred (2)"/>
      <sheetName val="Taxrelief"/>
      <sheetName val="OLD"/>
      <sheetName val="Assets"/>
      <sheetName val="Sheet4"/>
      <sheetName val="Defeered Work"/>
      <sheetName val="Liabiliteis"/>
      <sheetName val="Sheet2 (2)"/>
      <sheetName val="Sheet3 (2)"/>
      <sheetName val="Chart1"/>
      <sheetName val="Sheet1 (2)"/>
      <sheetName val="Lease"/>
      <sheetName val="PremiumMaturity"/>
      <sheetName val="NEWAD"/>
      <sheetName val="pinex (2)"/>
      <sheetName val="Notes1_5"/>
      <sheetName val="Assignmentform"/>
      <sheetName val="Liquidity"/>
      <sheetName val="PNSC"/>
      <sheetName val="CFR-5"/>
      <sheetName val="Links"/>
      <sheetName val="Rate Input"/>
      <sheetName val="Profit Worksheet"/>
      <sheetName val="SHF-1026-EXP"/>
      <sheetName val="SITE-1001-P&amp;L"/>
      <sheetName val="CLM-1012-P&amp;L"/>
      <sheetName val="SHF-1026-P&amp;L"/>
      <sheetName val="KRG-1002-P&amp;L"/>
      <sheetName val="MAIN-1003-P&amp;L"/>
      <sheetName val="KSE-1010-P&amp;L"/>
      <sheetName val="JODIA-1011-P&amp;L"/>
      <sheetName val="JODIA-1011-EXP"/>
      <sheetName val="CLM-1012-EXP"/>
      <sheetName val="SITE-1001-EXP"/>
      <sheetName val="KRG-1002-EXP"/>
      <sheetName val="MAIN-1003-EXP"/>
      <sheetName val="Total_Adjustments"/>
      <sheetName val="Assets_(2)"/>
      <sheetName val="Balance_Sheet"/>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Notes41-42_1"/>
      <sheetName val="Notes41-42_1_(2)"/>
      <sheetName val="Notes42_2-44"/>
      <sheetName val="Note_45"/>
      <sheetName val="Deferred_(2)"/>
      <sheetName val="Defeered_Work"/>
      <sheetName val="Sheet2_(2)"/>
      <sheetName val="Sheet3_(2)"/>
      <sheetName val="Sheet1_(2)"/>
      <sheetName val="Note1_11"/>
      <sheetName val="Total_Adjustments1"/>
      <sheetName val="Assets_(2)1"/>
      <sheetName val="Balance_Sheet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Notes41-42_11"/>
      <sheetName val="Notes41-42_1_(2)1"/>
      <sheetName val="Notes42_2-441"/>
      <sheetName val="Note_451"/>
      <sheetName val="Deferred_(2)1"/>
      <sheetName val="Defeered_Work1"/>
      <sheetName val="Sheet2_(2)1"/>
      <sheetName val="Sheet3_(2)1"/>
      <sheetName val="Sheet1_(2)1"/>
      <sheetName val="A"/>
      <sheetName val="CliftonMain-1003-P&amp;L"/>
      <sheetName val="CliftonMain-1003-EXP"/>
      <sheetName val="SALARY"/>
      <sheetName val="Parameters"/>
      <sheetName val="broker sheet-2"/>
      <sheetName val="pinex_(2)"/>
      <sheetName val="Rate_Input"/>
      <sheetName val="Profit_Worksheet"/>
      <sheetName val="acct"/>
      <sheetName val="2000_ Projects Summary"/>
      <sheetName val="Sheet5"/>
      <sheetName val="Augbkp98"/>
      <sheetName val="pinex_(2)1"/>
      <sheetName val="Rate_Input1"/>
      <sheetName val="Profit_Worksheet1"/>
      <sheetName val="SOURCE"/>
      <sheetName val="PDF1"/>
      <sheetName val="Currency"/>
      <sheetName val="DropDown"/>
      <sheetName val="Segment new 1"/>
      <sheetName val="Drop down"/>
      <sheetName val="16-Avg Sales Price"/>
      <sheetName val="Statement of Claims"/>
      <sheetName val="Notes _2_"/>
      <sheetName val="PL_Million_"/>
      <sheetName val="Fin_Histo_PL"/>
      <sheetName val="Deposit"/>
      <sheetName val="stdd costBPCS"/>
      <sheetName val="B-S(p)"/>
      <sheetName val="Code"/>
      <sheetName val="BS-OVS"/>
      <sheetName val="Abu Dhabi"/>
      <sheetName val="Total_Adjustments2"/>
      <sheetName val="Assets_(2)2"/>
      <sheetName val="Balance_Sheet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Notes41-42_12"/>
      <sheetName val="Notes41-42_1_(2)2"/>
      <sheetName val="Notes42_2-442"/>
      <sheetName val="Note_452"/>
      <sheetName val="Deferred_(2)2"/>
      <sheetName val="Defeered_Work2"/>
      <sheetName val="Sheet2_(2)2"/>
      <sheetName val="Sheet3_(2)2"/>
      <sheetName val="Sheet1_(2)2"/>
      <sheetName val="pinex_(2)2"/>
      <sheetName val="Rate_Input2"/>
      <sheetName val="Profit_Worksheet2"/>
      <sheetName val="2000__Projects_Summary"/>
      <sheetName val="broker_sheet-2"/>
      <sheetName val="BSDOMOVS"/>
      <sheetName val="EDP_Euros"/>
      <sheetName val="Iberdrola_Euros"/>
      <sheetName val="BS"/>
      <sheetName val="Non-Statistical Sampling"/>
      <sheetName val="REV VAR INC"/>
      <sheetName val="Segment_new_1"/>
      <sheetName val="Drop_down"/>
      <sheetName val="16-Avg_Sales_Price"/>
      <sheetName val="stdd_costBPCS"/>
      <sheetName val="Statement_of_Claims"/>
      <sheetName val="Revenue-Fire-Marine-Motor"/>
      <sheetName val="Graphs 1"/>
      <sheetName val="Macro1"/>
      <sheetName val="Summary"/>
      <sheetName val="Grouping"/>
      <sheetName val="Notes__2_"/>
      <sheetName val="Non-Statistical_Sampling"/>
      <sheetName val="REV_VAR_INC"/>
      <sheetName val="Report .1"/>
      <sheetName val="Final Accounts 2001As per Audit"/>
      <sheetName val="Aylık"/>
      <sheetName val="Net"/>
      <sheetName val="Profiles"/>
      <sheetName val="ៀFinal Accou"/>
      <sheetName val="ḜFinal Accou"/>
      <sheetName val="⒐Final Accou"/>
      <sheetName val="nt__5"/>
      <sheetName val="nt__6"/>
      <sheetName val="nt__7"/>
      <sheetName val="nt__8"/>
      <sheetName val="nt__9"/>
      <sheetName val="DATABASE"/>
      <sheetName val="MMR"/>
      <sheetName val="Cash Flow"/>
      <sheetName val="Total_Adjustments3"/>
      <sheetName val="Assets_(2)3"/>
      <sheetName val="Balance_Sheet3"/>
      <sheetName val="Statement_of_Ch3"/>
      <sheetName val="Note6-8_23"/>
      <sheetName val="Note9-9_63"/>
      <sheetName val="Note_9_7-9_83"/>
      <sheetName val="Notes10-10_4_23"/>
      <sheetName val="10_5-11_33"/>
      <sheetName val="Note_123"/>
      <sheetName val="Note12_3-15_13"/>
      <sheetName val="Note16-21_13"/>
      <sheetName val="Note22-22_73"/>
      <sheetName val="Notes25-26_13"/>
      <sheetName val="Notes26_2-323"/>
      <sheetName val="Notes41-42_13"/>
      <sheetName val="Notes41-42_1_(2)3"/>
      <sheetName val="Notes42_2-443"/>
      <sheetName val="Note_453"/>
      <sheetName val="Deferred_(2)3"/>
      <sheetName val="Defeered_Work3"/>
      <sheetName val="Sheet2_(2)3"/>
      <sheetName val="Sheet3_(2)3"/>
      <sheetName val="Sheet1_(2)3"/>
      <sheetName val="pinex_(2)3"/>
      <sheetName val="Rate_Input3"/>
      <sheetName val="Profit_Worksheet3"/>
      <sheetName val="2000__Projects_Summary1"/>
      <sheetName val="broker_sheet-21"/>
      <sheetName val="cpur"/>
      <sheetName val="IGData"/>
      <sheetName val="Rate Verification"/>
      <sheetName val="Product Wise Breakup"/>
      <sheetName val="Monthly breakup"/>
      <sheetName val="Categoried of Deposit (2)"/>
      <sheetName val="PPC-ORD DTL"/>
      <sheetName val="Abu_Dhabi"/>
      <sheetName val="A-C CODE &amp; NAME"/>
      <sheetName val="会社別"/>
      <sheetName val="B-6"/>
      <sheetName val="Adv to vendor"/>
      <sheetName val="GP Analysis"/>
      <sheetName val="FundsNW"/>
      <sheetName val="Stock in Trade"/>
      <sheetName val="Rentals-SAM KHI"/>
      <sheetName val="Global Data"/>
      <sheetName val="CHALLAN"/>
      <sheetName val="Validation"/>
      <sheetName val="Worksheet"/>
      <sheetName val="macro d'éval"/>
      <sheetName val="PL "/>
      <sheetName val="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sheetData sheetId="198"/>
      <sheetData sheetId="199"/>
      <sheetData sheetId="200" refreshError="1"/>
      <sheetData sheetId="201" refreshError="1"/>
      <sheetData sheetId="202" refreshError="1"/>
      <sheetData sheetId="203" refreshError="1"/>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Equity"/>
      <sheetName val="GD"/>
      <sheetName val="GE"/>
      <sheetName val="GF"/>
      <sheetName val="GG"/>
      <sheetName val="P&amp;L-QTR"/>
      <sheetName val="GD-QTR"/>
      <sheetName val="GE-QTR"/>
      <sheetName val="GF-QTR"/>
      <sheetName val="CF"/>
      <sheetName val="Notes"/>
      <sheetName val="Adjustment"/>
      <sheetName val="Equity (2)"/>
      <sheetName val="Equity_(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1_5_old_"/>
      <sheetName val="000"/>
      <sheetName val="Balance Sheet"/>
      <sheetName val="p&amp;l"/>
      <sheetName val="CashFlow"/>
      <sheetName val="Statement of Ch"/>
      <sheetName val="Notes1-5(old)"/>
      <sheetName val="Note6-8.2"/>
      <sheetName val="Note9-9.6"/>
      <sheetName val="Note 9.7-9.9"/>
      <sheetName val="Notes10-10.6"/>
      <sheetName val="11-11.4"/>
      <sheetName val="Note 12 "/>
      <sheetName val="Note12.3-17.1"/>
      <sheetName val="Note19-21.1"/>
      <sheetName val="Note21.2-22"/>
      <sheetName val="Notes23-25.1"/>
      <sheetName val="Notes25.2-31"/>
      <sheetName val="Notes32-33"/>
      <sheetName val="Notes34-35"/>
      <sheetName val="Notes36-36.2"/>
      <sheetName val="Notes37-41"/>
      <sheetName val="Note 45"/>
      <sheetName val="Notes(New)39-40"/>
      <sheetName val="Annexure (3)"/>
      <sheetName val="TaxWDVJul-Dec02"/>
      <sheetName val="AUDITADJUST"/>
      <sheetName val="EFFECT"/>
      <sheetName val="Assets 2002"/>
      <sheetName val="Note 9.7-9.8 (2)"/>
      <sheetName val="Liabiliteis 2002"/>
      <sheetName val="P&amp;L 2002"/>
      <sheetName val="Sheet1 (3)"/>
      <sheetName val="NEWAD"/>
      <sheetName val="SBP-Staggering"/>
      <sheetName val="Computa.Tax"/>
      <sheetName val="Notes1-5"/>
      <sheetName val="Notes42.2-44"/>
      <sheetName val="Com.TaxJul-Dec01"/>
      <sheetName val="Computa.Tax (2)"/>
      <sheetName val="Sheet8"/>
      <sheetName val="D Tax2002"/>
      <sheetName val="WKGJul-Dec01"/>
      <sheetName val="Note 12(3)"/>
      <sheetName val="Guarantee"/>
      <sheetName val="reginal"/>
      <sheetName val="pinex"/>
      <sheetName val="Currency-expo"/>
      <sheetName val="Annexure"/>
      <sheetName val="affair"/>
      <sheetName val="Change Note"/>
      <sheetName val="Change Note 2"/>
      <sheetName val="inc-exp"/>
      <sheetName val="YieldAd"/>
      <sheetName val="YieldAd-net"/>
      <sheetName val="MaturLiabili"/>
      <sheetName val="MaturiAssets"/>
      <sheetName val="Sheet1 (4)"/>
      <sheetName val="YielDeposit"/>
      <sheetName val="Sheet1"/>
      <sheetName val="summary (3)"/>
      <sheetName val="Sheet2"/>
      <sheetName val="Sheet3"/>
      <sheetName val="Sheet6"/>
      <sheetName val="pinex (2)"/>
      <sheetName val="Annexure (2)"/>
      <sheetName val="Guarteee"/>
      <sheetName val="Sheet7"/>
      <sheetName val="Assets (2)"/>
      <sheetName val="summary (2)"/>
      <sheetName val="Deferred (2)"/>
      <sheetName val="Taxrelief"/>
      <sheetName val="OLD"/>
      <sheetName val="Assets"/>
      <sheetName val="Sheet4"/>
      <sheetName val="Sheet5"/>
      <sheetName val="Liabiliteis"/>
      <sheetName val="Sheet2 (2)"/>
      <sheetName val="Sheet3 (2)"/>
      <sheetName val="Chart1"/>
      <sheetName val="Sheet1 (2)"/>
      <sheetName val="Lease"/>
      <sheetName val="Total Adjustments"/>
      <sheetName val="PremiumMaturity"/>
      <sheetName val="Note 12 (2)"/>
      <sheetName val="Defeered Work"/>
      <sheetName val="Balance_Sheet"/>
      <sheetName val="Statement_of_Ch"/>
      <sheetName val="Note6-8_2"/>
      <sheetName val="Note9-9_6"/>
      <sheetName val="Note_9_7-9_9"/>
      <sheetName val="Notes10-10_6"/>
      <sheetName val="11-11_4"/>
      <sheetName val="Note_12_"/>
      <sheetName val="Note12_3-17_1"/>
      <sheetName val="Note19-21_1"/>
      <sheetName val="Note21_2-22"/>
      <sheetName val="Notes23-25_1"/>
      <sheetName val="Notes25_2-31"/>
      <sheetName val="Notes36-36_2"/>
      <sheetName val="Note_45"/>
      <sheetName val="Annexure_(3)"/>
      <sheetName val="Assets_2002"/>
      <sheetName val="Note_9_7-9_8_(2)"/>
      <sheetName val="Liabiliteis_2002"/>
      <sheetName val="P&amp;L_2002"/>
      <sheetName val="Sheet1_(3)"/>
      <sheetName val="Computa_Tax"/>
      <sheetName val="Notes42_2-44"/>
      <sheetName val="Com_TaxJul-Dec01"/>
      <sheetName val="Computa_Tax_(2)"/>
      <sheetName val="D_Tax2002"/>
      <sheetName val="Note_12(3)"/>
      <sheetName val="Change_Note"/>
      <sheetName val="Change_Note_2"/>
      <sheetName val="Sheet1_(4)"/>
      <sheetName val="summary_(3)"/>
      <sheetName val="pinex_(2)"/>
      <sheetName val="Annexure_(2)"/>
      <sheetName val="Assets_(2)"/>
      <sheetName val="summary_(2)"/>
      <sheetName val="Deferred_(2)"/>
      <sheetName val="Sheet2_(2)"/>
      <sheetName val="Sheet3_(2)"/>
      <sheetName val="Sheet1_(2)"/>
      <sheetName val="Total_Adjustments"/>
      <sheetName val="Note_12_(2)"/>
      <sheetName val="Defeered_Work"/>
      <sheetName val="Balance_Sheet1"/>
      <sheetName val="Statement_of_Ch1"/>
      <sheetName val="Note6-8_21"/>
      <sheetName val="Note9-9_61"/>
      <sheetName val="Note_9_7-9_91"/>
      <sheetName val="Notes10-10_61"/>
      <sheetName val="11-11_41"/>
      <sheetName val="Note_12_1"/>
      <sheetName val="Note12_3-17_11"/>
      <sheetName val="Note19-21_11"/>
      <sheetName val="Note21_2-221"/>
      <sheetName val="Notes23-25_11"/>
      <sheetName val="Notes25_2-311"/>
      <sheetName val="Notes36-36_21"/>
      <sheetName val="Note_451"/>
      <sheetName val="Annexure_(3)1"/>
      <sheetName val="Assets_20021"/>
      <sheetName val="Note_9_7-9_8_(2)1"/>
      <sheetName val="Liabiliteis_20021"/>
      <sheetName val="P&amp;L_20021"/>
      <sheetName val="Sheet1_(3)1"/>
      <sheetName val="Computa_Tax1"/>
      <sheetName val="Notes42_2-441"/>
      <sheetName val="Com_TaxJul-Dec011"/>
      <sheetName val="Computa_Tax_(2)1"/>
      <sheetName val="D_Tax20021"/>
      <sheetName val="Note_12(3)1"/>
      <sheetName val="Change_Note1"/>
      <sheetName val="Change_Note_21"/>
      <sheetName val="Sheet1_(4)1"/>
      <sheetName val="summary_(3)1"/>
      <sheetName val="pinex_(2)1"/>
      <sheetName val="Annexure_(2)1"/>
      <sheetName val="Assets_(2)1"/>
      <sheetName val="summary_(2)1"/>
      <sheetName val="Deferred_(2)1"/>
      <sheetName val="Sheet2_(2)1"/>
      <sheetName val="Sheet3_(2)1"/>
      <sheetName val="Sheet1_(2)1"/>
      <sheetName val="Total_Adjustments1"/>
      <sheetName val="Note_12_(2)1"/>
      <sheetName val="Defeered_Work1"/>
      <sheetName val="I-BR"/>
      <sheetName val="I-B"/>
      <sheetName val="Balance_Sheet2"/>
      <sheetName val="Statement_of_Ch2"/>
      <sheetName val="Note6-8_22"/>
      <sheetName val="Note9-9_62"/>
      <sheetName val="Note_9_7-9_92"/>
      <sheetName val="Notes10-10_62"/>
      <sheetName val="11-11_42"/>
      <sheetName val="Note_12_2"/>
      <sheetName val="Note12_3-17_12"/>
      <sheetName val="Note19-21_12"/>
      <sheetName val="Note21_2-222"/>
      <sheetName val="Notes23-25_12"/>
      <sheetName val="Notes25_2-312"/>
      <sheetName val="Notes36-36_22"/>
      <sheetName val="Note_452"/>
      <sheetName val="Annexure_(3)2"/>
      <sheetName val="Assets_20022"/>
      <sheetName val="Note_9_7-9_8_(2)2"/>
      <sheetName val="Liabiliteis_20022"/>
      <sheetName val="P&amp;L_20022"/>
      <sheetName val="Sheet1_(3)2"/>
      <sheetName val="Computa_Tax2"/>
      <sheetName val="Notes42_2-442"/>
      <sheetName val="Com_TaxJul-Dec012"/>
      <sheetName val="Computa_Tax_(2)2"/>
      <sheetName val="D_Tax20022"/>
      <sheetName val="Note_12(3)2"/>
      <sheetName val="Change_Note2"/>
      <sheetName val="Change_Note_22"/>
      <sheetName val="Sheet1_(4)2"/>
      <sheetName val="summary_(3)2"/>
      <sheetName val="pinex_(2)2"/>
      <sheetName val="Annexure_(2)2"/>
      <sheetName val="Assets_(2)2"/>
      <sheetName val="summary_(2)2"/>
      <sheetName val="Deferred_(2)2"/>
      <sheetName val="Sheet2_(2)2"/>
      <sheetName val="Sheet3_(2)2"/>
      <sheetName val="Sheet1_(2)2"/>
      <sheetName val="Total_Adjustments2"/>
      <sheetName val="Note_12_(2)2"/>
      <sheetName val="Defeered_Work2"/>
      <sheetName val="BUs in Com Imp WO SS CS"/>
      <sheetName val="EMOF Portfol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Notes"/>
    </sheetNames>
    <sheetDataSet>
      <sheetData sheetId="0">
        <row r="46">
          <cell r="B46">
            <v>13585181</v>
          </cell>
        </row>
      </sheetData>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polate _ _200"/>
      <sheetName val="E_Learn Simulation"/>
      <sheetName val="Documentation"/>
      <sheetName val="CC"/>
      <sheetName val="First Sample Results"/>
      <sheetName val="Target Testing_AFS_ _2_"/>
      <sheetName val="HFT valuation (final)"/>
      <sheetName val="marked to market (hft)"/>
      <sheetName val="CDC Reconciliation _2_"/>
      <sheetName val="marked to market(afs)"/>
      <sheetName val="afs valuation (Final)"/>
      <sheetName val="unrealised gain or (loss)"/>
      <sheetName val="right shares"/>
      <sheetName val="bonus working"/>
      <sheetName val="market value"/>
      <sheetName val="cum dividend "/>
      <sheetName val="market value (own sheet)"/>
      <sheetName val="Moving Average _HFT_ "/>
      <sheetName val="dividend"/>
      <sheetName val="Margin"/>
      <sheetName val="Target Testing_CG_"/>
      <sheetName val="Target Testing_Der_"/>
      <sheetName val="Unprotected Worksheet"/>
      <sheetName val="Extended Sample Tables"/>
      <sheetName val="Required Documentation"/>
      <sheetName val="CDC Reconciliation"/>
      <sheetName val="Compatibility Report"/>
      <sheetName val="Capital-US$"/>
      <sheetName val="Sheet1"/>
      <sheetName val="BAHRAIN"/>
      <sheetName val="Note-14"/>
      <sheetName val="DOHA QATAR "/>
      <sheetName val="PAKISTAN"/>
      <sheetName val="UAE"/>
      <sheetName val="Brokers"/>
      <sheetName val="OS_Purchase"/>
      <sheetName val="Purchase"/>
      <sheetName val="Sale"/>
      <sheetName val="Symbols"/>
      <sheetName val="rate "/>
      <sheetName val="Interpolate____200"/>
      <sheetName val="E_Learn_Simulation"/>
      <sheetName val="First_Sample_Results"/>
      <sheetName val="Target_Testing_AFS___2_"/>
      <sheetName val="HFT_valuation_(final)"/>
      <sheetName val="marked_to_market_(hft)"/>
      <sheetName val="CDC_Reconciliation__2_"/>
      <sheetName val="marked_to_market(afs)"/>
      <sheetName val="afs_valuation_(Final)"/>
      <sheetName val="unrealised_gain_or_(loss)"/>
      <sheetName val="right_shares"/>
      <sheetName val="bonus_working"/>
      <sheetName val="market_value"/>
      <sheetName val="cum_dividend_"/>
      <sheetName val="market_value_(own_sheet)"/>
      <sheetName val="Moving_Average__HFT__"/>
      <sheetName val="Target_Testing_CG_"/>
      <sheetName val="Target_Testing_Der_"/>
      <sheetName val="Unprotected_Worksheet"/>
      <sheetName val="Extended_Sample_Tables"/>
      <sheetName val="Required_Documentation"/>
      <sheetName val="CDC_Reconciliation"/>
      <sheetName val="Compatibility_Repor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CH"/>
      <sheetName val="Provision2003"/>
      <sheetName val="GOVT BONDS"/>
      <sheetName val="FINANCE CODE"/>
      <sheetName val="SUMMARY OF LOANS CODE 65"/>
      <sheetName val="Sheet1"/>
      <sheetName val="LTTFCs"/>
      <sheetName val="65"/>
      <sheetName val="05-051"/>
      <sheetName val="SBPCRLINE (2)"/>
      <sheetName val="SBPCRLINE"/>
      <sheetName val="05-061 TO 05-229"/>
      <sheetName val="10-525 TO 10-640"/>
      <sheetName val="55-061"/>
      <sheetName val="CREDIT LINES"/>
      <sheetName val="35-021"/>
      <sheetName val="35-022"/>
      <sheetName val="35-023"/>
      <sheetName val="35-024"/>
      <sheetName val="35-025"/>
      <sheetName val="35-026"/>
      <sheetName val="35-027"/>
      <sheetName val="OTHER CHARGES (2)"/>
      <sheetName val="OTHER CHARGES"/>
      <sheetName val="INTEREST MARKUP RECEIVABLE"/>
      <sheetName val="55-072 (LEGAL CHARGES-ICP)"/>
      <sheetName val="35-041"/>
      <sheetName val="35-042"/>
      <sheetName val="35-043"/>
      <sheetName val="35-044"/>
      <sheetName val="35-045"/>
      <sheetName val="35-046"/>
      <sheetName val="35-047"/>
      <sheetName val="35-048"/>
      <sheetName val="35-049"/>
      <sheetName val="OTHER DEP (35-030)"/>
      <sheetName val="waiver"/>
      <sheetName val="writeoff"/>
      <sheetName val="PROVpart"/>
      <sheetName val="35-284 &amp; 285 (Payable) (6)"/>
      <sheetName val="LINE SBP"/>
      <sheetName val="35-284 &amp; 285 (Payable) (3)"/>
      <sheetName val="35-284 &amp; 285 (Payable) (5)"/>
      <sheetName val="35-284 &amp; 285 (Payable) (4)"/>
      <sheetName val="35-284 &amp; 285 (Payable) (2)"/>
      <sheetName val="GOVT BONDS (2)"/>
      <sheetName val="Provision mdae 2003  (2)"/>
      <sheetName val="INT SUS WR BK"/>
      <sheetName val="write back"/>
      <sheetName val="suspended interest (F)"/>
      <sheetName val="suspended interest"/>
      <sheetName val="Provision mdae 2003 "/>
      <sheetName val="INTERST SUSPENSE"/>
      <sheetName val="Sheet2"/>
      <sheetName val="JUNE 2001"/>
      <sheetName val="MARCH 2001"/>
      <sheetName val="35-284 &amp; 285 (Payable) (7)"/>
      <sheetName val="ProvSep2003 "/>
      <sheetName val="ProvSep3 "/>
      <sheetName val="Titel"/>
      <sheetName val="GOVT_BONDS"/>
      <sheetName val="FINANCE_CODE"/>
      <sheetName val="SUMMARY_OF_LOANS_CODE_65"/>
      <sheetName val="SBPCRLINE_(2)"/>
      <sheetName val="05-061_TO_05-229"/>
      <sheetName val="10-525_TO_10-640"/>
      <sheetName val="CREDIT_LINES"/>
      <sheetName val="OTHER_CHARGES_(2)"/>
      <sheetName val="OTHER_CHARGES"/>
      <sheetName val="INTEREST_MARKUP_RECEIVABLE"/>
      <sheetName val="55-072_(LEGAL_CHARGES-ICP)"/>
      <sheetName val="OTHER_DEP_(35-030)"/>
      <sheetName val="35-284_&amp;_285_(Payable)_(6)"/>
      <sheetName val="LINE_SBP"/>
      <sheetName val="35-284_&amp;_285_(Payable)_(3)"/>
      <sheetName val="35-284_&amp;_285_(Payable)_(5)"/>
      <sheetName val="35-284_&amp;_285_(Payable)_(4)"/>
      <sheetName val="35-284_&amp;_285_(Payable)_(2)"/>
      <sheetName val="GOVT_BONDS_(2)"/>
      <sheetName val="Provision_mdae_2003__(2)"/>
      <sheetName val="INT_SUS_WR_BK"/>
      <sheetName val="write_back"/>
      <sheetName val="suspended_interest_(F)"/>
      <sheetName val="suspended_interest"/>
      <sheetName val="Provision_mdae_2003_"/>
      <sheetName val="INTERST_SUSPENSE"/>
      <sheetName val="JUNE_2001"/>
      <sheetName val="MARCH_2001"/>
      <sheetName val="35-284_&amp;_285_(Payable)_(7)"/>
      <sheetName val="ProvSep2003_"/>
      <sheetName val="ProvSep3_"/>
      <sheetName val="Notes1_5"/>
      <sheetName val="Notes1-5"/>
      <sheetName val="Documentation"/>
      <sheetName val="Revenue-Fire-Marine-Motor"/>
      <sheetName val="Add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INPUT"/>
      <sheetName val="STATEMENT"/>
      <sheetName val="Over drawn Nostros "/>
      <sheetName val="Currency Risk "/>
      <sheetName val="FINANCE AS AFF"/>
      <sheetName val="Sheet3"/>
      <sheetName val="FINANCE"/>
      <sheetName val="A-C CODE &amp; NAM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
          <cell r="B1" t="str">
            <v>CODE</v>
          </cell>
          <cell r="C1" t="str">
            <v>NAME OF FOREIGN BANKS</v>
          </cell>
        </row>
        <row r="2">
          <cell r="B2" t="str">
            <v>AC018</v>
          </cell>
          <cell r="C2" t="str">
            <v>State Bank Of India, Overseas</v>
          </cell>
        </row>
        <row r="3">
          <cell r="B3" t="str">
            <v>AC030</v>
          </cell>
          <cell r="C3" t="str">
            <v>Janata Bank Dhaka.</v>
          </cell>
        </row>
        <row r="4">
          <cell r="B4" t="str">
            <v>AC074</v>
          </cell>
          <cell r="C4" t="str">
            <v>UBL New York</v>
          </cell>
        </row>
        <row r="5">
          <cell r="B5" t="str">
            <v>AD015</v>
          </cell>
          <cell r="C5" t="str">
            <v>Westpac Banking Corp Sydney</v>
          </cell>
        </row>
        <row r="6">
          <cell r="B6" t="str">
            <v>AD026</v>
          </cell>
          <cell r="C6" t="str">
            <v>AD Account Receivable</v>
          </cell>
        </row>
        <row r="7">
          <cell r="B7" t="str">
            <v>AS013</v>
          </cell>
          <cell r="C7" t="str">
            <v>Osterreichische Landerbanken,vie</v>
          </cell>
        </row>
        <row r="8">
          <cell r="B8" t="str">
            <v>BD817</v>
          </cell>
          <cell r="C8" t="str">
            <v>United Bank LTD,Manama-Bahrain</v>
          </cell>
        </row>
        <row r="9">
          <cell r="B9" t="str">
            <v>BF015</v>
          </cell>
          <cell r="C9" t="str">
            <v>Societe General De-Banque Bru.</v>
          </cell>
        </row>
        <row r="10">
          <cell r="B10" t="str">
            <v>BF037</v>
          </cell>
          <cell r="C10" t="str">
            <v>Habib Bank Limited, Belgium .</v>
          </cell>
        </row>
        <row r="11">
          <cell r="B11" t="str">
            <v>BU016</v>
          </cell>
          <cell r="C11" t="str">
            <v>Janata Bank Dhaka.</v>
          </cell>
        </row>
        <row r="12">
          <cell r="B12" t="str">
            <v>CD017</v>
          </cell>
          <cell r="C12" t="str">
            <v>Bank of Montreal , Canada.</v>
          </cell>
        </row>
        <row r="13">
          <cell r="B13" t="str">
            <v>CD028</v>
          </cell>
          <cell r="C13" t="str">
            <v>Royal Bank Of Canada,Montreal</v>
          </cell>
        </row>
        <row r="14">
          <cell r="B14" t="str">
            <v>CD039</v>
          </cell>
          <cell r="C14" t="str">
            <v>Bank Of Credit &amp; Commerce Intl.</v>
          </cell>
        </row>
        <row r="15">
          <cell r="B15" t="str">
            <v>CD051</v>
          </cell>
          <cell r="C15" t="str">
            <v>CD Account Payable</v>
          </cell>
        </row>
        <row r="16">
          <cell r="B16" t="str">
            <v>DG014</v>
          </cell>
          <cell r="C16" t="str">
            <v>Amro Bank, Amsterdam</v>
          </cell>
        </row>
        <row r="17">
          <cell r="B17" t="str">
            <v>DK515</v>
          </cell>
          <cell r="C17" t="str">
            <v>Den Danske Lndmandsbank,Copen</v>
          </cell>
        </row>
        <row r="18">
          <cell r="B18" t="str">
            <v>DK537</v>
          </cell>
          <cell r="C18" t="str">
            <v>A/S Copenhagen</v>
          </cell>
        </row>
        <row r="19">
          <cell r="B19" t="str">
            <v>DK559</v>
          </cell>
          <cell r="C19" t="str">
            <v>DK Account Payable</v>
          </cell>
        </row>
        <row r="20">
          <cell r="B20" t="str">
            <v>DM019</v>
          </cell>
          <cell r="C20" t="str">
            <v>Deutsche Bank A.G.Hamberg</v>
          </cell>
        </row>
        <row r="21">
          <cell r="B21" t="str">
            <v>DM020</v>
          </cell>
          <cell r="C21" t="str">
            <v>Dresdner Bank A. G. Frankfurt</v>
          </cell>
        </row>
        <row r="22">
          <cell r="B22" t="str">
            <v>DM053</v>
          </cell>
          <cell r="C22" t="str">
            <v>Commerzebank A.G.Frankfurt</v>
          </cell>
        </row>
        <row r="23">
          <cell r="B23" t="str">
            <v>DM086</v>
          </cell>
          <cell r="C23" t="str">
            <v>Bank of Comm &amp; Credit Int.Fran</v>
          </cell>
        </row>
        <row r="24">
          <cell r="B24" t="str">
            <v>DM097</v>
          </cell>
          <cell r="C24" t="str">
            <v>National Bank Of Pakistan,Frank</v>
          </cell>
        </row>
        <row r="25">
          <cell r="B25" t="str">
            <v>DM224</v>
          </cell>
          <cell r="C25" t="str">
            <v>UBL FFT FE-25 DM</v>
          </cell>
        </row>
        <row r="26">
          <cell r="B26" t="str">
            <v>DM235</v>
          </cell>
          <cell r="C26" t="str">
            <v>UBL FFT FE-25 DEPOSIT DM</v>
          </cell>
        </row>
        <row r="27">
          <cell r="B27" t="str">
            <v>ED815</v>
          </cell>
          <cell r="C27" t="str">
            <v>United Bank Ltd, Dera Dubai</v>
          </cell>
        </row>
        <row r="28">
          <cell r="B28" t="str">
            <v>EU025</v>
          </cell>
          <cell r="C28" t="str">
            <v>Dresdner Bank AG Euro</v>
          </cell>
        </row>
        <row r="29">
          <cell r="B29" t="str">
            <v>EU036</v>
          </cell>
          <cell r="C29" t="str">
            <v>Habib Bank LTD. Belgium Euro</v>
          </cell>
        </row>
        <row r="30">
          <cell r="B30" t="str">
            <v>EU047</v>
          </cell>
          <cell r="C30" t="str">
            <v>Deutche Bank Frank Furt Euro</v>
          </cell>
        </row>
        <row r="31">
          <cell r="B31" t="str">
            <v>EU058</v>
          </cell>
          <cell r="C31" t="str">
            <v>Placement with FOR/BNK Euro</v>
          </cell>
        </row>
        <row r="32">
          <cell r="B32" t="str">
            <v>EU069</v>
          </cell>
          <cell r="C32" t="str">
            <v>United National Bank LTD (EURO)</v>
          </cell>
        </row>
        <row r="33">
          <cell r="B33" t="str">
            <v>EU070</v>
          </cell>
          <cell r="C33" t="str">
            <v>EURO FE-25</v>
          </cell>
        </row>
        <row r="34">
          <cell r="B34" t="str">
            <v>EU081</v>
          </cell>
          <cell r="C34" t="str">
            <v>EURO FE-25 DEPOSIT</v>
          </cell>
        </row>
        <row r="35">
          <cell r="B35" t="str">
            <v>EU092</v>
          </cell>
          <cell r="C35" t="str">
            <v>Fortis Bank Belgium Euro</v>
          </cell>
        </row>
        <row r="36">
          <cell r="B36" t="str">
            <v>EU105</v>
          </cell>
          <cell r="C36" t="str">
            <v>National Bank of Pakistan Euro</v>
          </cell>
        </row>
        <row r="37">
          <cell r="B37" t="str">
            <v>EU116</v>
          </cell>
          <cell r="C37" t="str">
            <v>NBP Frank furt EURO</v>
          </cell>
        </row>
        <row r="38">
          <cell r="B38" t="str">
            <v>EU127</v>
          </cell>
          <cell r="C38" t="str">
            <v>Banca Commerciale Italiana EURO</v>
          </cell>
        </row>
        <row r="39">
          <cell r="B39" t="str">
            <v>EU138</v>
          </cell>
          <cell r="C39" t="str">
            <v>ABN Amro Amsterdam EURO</v>
          </cell>
        </row>
        <row r="40">
          <cell r="B40" t="str">
            <v>EU149</v>
          </cell>
          <cell r="C40" t="str">
            <v>Bank of Austria Vienaa EURO</v>
          </cell>
        </row>
        <row r="41">
          <cell r="B41" t="str">
            <v>EU150</v>
          </cell>
          <cell r="C41" t="str">
            <v>COMERZE BANK FRANKFURT EURO</v>
          </cell>
        </row>
        <row r="42">
          <cell r="B42" t="str">
            <v>EU161</v>
          </cell>
          <cell r="C42" t="str">
            <v>SOCIETE GENERALE PARIS EURO</v>
          </cell>
        </row>
        <row r="43">
          <cell r="B43" t="str">
            <v>EU172</v>
          </cell>
          <cell r="C43" t="str">
            <v>BANCO DI BILBAO SPAIN EURO</v>
          </cell>
        </row>
        <row r="44">
          <cell r="B44" t="str">
            <v>EU172</v>
          </cell>
          <cell r="C44" t="str">
            <v>Bnco Di Bilbao Spain EURO</v>
          </cell>
        </row>
        <row r="45">
          <cell r="B45" t="str">
            <v>EU194</v>
          </cell>
          <cell r="C45" t="str">
            <v>EURO FE - 31</v>
          </cell>
        </row>
        <row r="46">
          <cell r="B46" t="str">
            <v>EU207</v>
          </cell>
          <cell r="C46" t="str">
            <v>EURO FE  - 31 DEPOSIT</v>
          </cell>
        </row>
        <row r="47">
          <cell r="B47" t="str">
            <v>EU218</v>
          </cell>
          <cell r="C47" t="str">
            <v>Trade related financing under FE 25</v>
          </cell>
        </row>
        <row r="48">
          <cell r="B48" t="str">
            <v>FF019</v>
          </cell>
          <cell r="C48" t="str">
            <v>Societe General Paris.</v>
          </cell>
        </row>
        <row r="49">
          <cell r="B49" t="str">
            <v>FF064</v>
          </cell>
          <cell r="C49" t="str">
            <v>Banque National de Paris</v>
          </cell>
        </row>
        <row r="50">
          <cell r="B50" t="str">
            <v>FF075</v>
          </cell>
          <cell r="C50" t="str">
            <v>National Bank Of Pakistan,Paris</v>
          </cell>
        </row>
        <row r="51">
          <cell r="B51" t="str">
            <v>FF097</v>
          </cell>
          <cell r="C51" t="str">
            <v>FF Account Receivable</v>
          </cell>
        </row>
        <row r="52">
          <cell r="B52" t="str">
            <v>HK019</v>
          </cell>
          <cell r="C52" t="str">
            <v>Hongkong &amp; Shanghai Banking Co</v>
          </cell>
        </row>
        <row r="53">
          <cell r="B53" t="str">
            <v>HK020</v>
          </cell>
          <cell r="C53" t="str">
            <v>National Bank Of Pakistan, Hong.</v>
          </cell>
        </row>
        <row r="54">
          <cell r="B54" t="str">
            <v>HK042</v>
          </cell>
          <cell r="C54" t="str">
            <v>HK Account Payable</v>
          </cell>
        </row>
        <row r="55">
          <cell r="B55" t="str">
            <v>IL012</v>
          </cell>
          <cell r="C55" t="str">
            <v>Banca Commerciale Italiana,Mil.</v>
          </cell>
        </row>
        <row r="56">
          <cell r="B56" t="str">
            <v>IL034</v>
          </cell>
          <cell r="C56" t="str">
            <v>IL Account Payable</v>
          </cell>
        </row>
        <row r="57">
          <cell r="B57" t="str">
            <v>IU018</v>
          </cell>
          <cell r="C57" t="str">
            <v>State Bank Of India, Overseas</v>
          </cell>
        </row>
        <row r="58">
          <cell r="B58" t="str">
            <v>IU030</v>
          </cell>
          <cell r="C58" t="str">
            <v>Standard Chartered Bank Bombay</v>
          </cell>
        </row>
        <row r="59">
          <cell r="B59" t="str">
            <v>JY016</v>
          </cell>
          <cell r="C59" t="str">
            <v>Sumitomo Bank Ltd , Tokyo</v>
          </cell>
        </row>
        <row r="60">
          <cell r="B60" t="str">
            <v>JY050</v>
          </cell>
          <cell r="C60" t="str">
            <v>National Bank of Pakista Tokyo</v>
          </cell>
        </row>
        <row r="61">
          <cell r="B61" t="str">
            <v>JY061</v>
          </cell>
          <cell r="C61" t="str">
            <v>Bank Of Tokyo, Tokyo</v>
          </cell>
        </row>
        <row r="62">
          <cell r="B62" t="str">
            <v>JY072</v>
          </cell>
          <cell r="C62" t="str">
            <v>B.C.C.I., Tokyo</v>
          </cell>
        </row>
        <row r="63">
          <cell r="B63" t="str">
            <v>JY094</v>
          </cell>
          <cell r="C63" t="str">
            <v>JY Payable</v>
          </cell>
        </row>
        <row r="64">
          <cell r="B64" t="str">
            <v>JY107</v>
          </cell>
          <cell r="C64" t="str">
            <v>Trade related financing under FE 25</v>
          </cell>
        </row>
        <row r="65">
          <cell r="B65" t="str">
            <v>KD019</v>
          </cell>
          <cell r="C65" t="str">
            <v>National Bank Of Kuwait, Kuwait</v>
          </cell>
        </row>
        <row r="66">
          <cell r="B66" t="str">
            <v>KW018</v>
          </cell>
          <cell r="C66" t="str">
            <v>National Bank of Pakistan Tokyo</v>
          </cell>
        </row>
        <row r="67">
          <cell r="B67" t="str">
            <v>NK019</v>
          </cell>
          <cell r="C67" t="str">
            <v>Christinia Bank Oslo</v>
          </cell>
        </row>
        <row r="68">
          <cell r="B68" t="str">
            <v>NK020</v>
          </cell>
          <cell r="C68" t="str">
            <v>Den Norske Credit Bank, Oslo</v>
          </cell>
        </row>
        <row r="69">
          <cell r="B69" t="str">
            <v>NZ017</v>
          </cell>
          <cell r="C69" t="str">
            <v>ANZ Banking Group Ltd.Auckland</v>
          </cell>
        </row>
        <row r="70">
          <cell r="B70" t="str">
            <v>NZ039</v>
          </cell>
          <cell r="C70" t="str">
            <v>NZ Account Payable</v>
          </cell>
        </row>
        <row r="71">
          <cell r="B71" t="str">
            <v>OR014</v>
          </cell>
          <cell r="C71" t="str">
            <v>Commecial Bank Of Oman Ltd. Muscat</v>
          </cell>
        </row>
        <row r="72">
          <cell r="B72" t="str">
            <v>QR016</v>
          </cell>
          <cell r="C72" t="str">
            <v>United Bank limted, Doha Qatar</v>
          </cell>
        </row>
        <row r="73">
          <cell r="B73" t="str">
            <v>RU016</v>
          </cell>
          <cell r="C73" t="str">
            <v>Bank Sadert  Iran</v>
          </cell>
        </row>
        <row r="74">
          <cell r="B74" t="str">
            <v>SD039</v>
          </cell>
          <cell r="C74" t="str">
            <v>Habib Bank Limited,Singapore</v>
          </cell>
        </row>
        <row r="75">
          <cell r="B75" t="str">
            <v>SF011</v>
          </cell>
          <cell r="C75" t="str">
            <v>Union Bank Of Switzerland,Zurich</v>
          </cell>
        </row>
        <row r="76">
          <cell r="B76" t="str">
            <v>SF817</v>
          </cell>
          <cell r="C76" t="str">
            <v>United Bank A.G.Zurich, Zurich</v>
          </cell>
        </row>
        <row r="77">
          <cell r="B77" t="str">
            <v>SF839</v>
          </cell>
          <cell r="C77" t="str">
            <v>SF Account Payable</v>
          </cell>
        </row>
        <row r="78">
          <cell r="B78" t="str">
            <v>SK519</v>
          </cell>
          <cell r="C78" t="str">
            <v>Sevenska Handels Banken Stock</v>
          </cell>
        </row>
        <row r="79">
          <cell r="B79" t="str">
            <v>SK531</v>
          </cell>
          <cell r="C79" t="str">
            <v>SK Account Receivable</v>
          </cell>
        </row>
        <row r="80">
          <cell r="B80" t="str">
            <v>SP014</v>
          </cell>
          <cell r="C80" t="str">
            <v>Banco Bilbao Vizcaya</v>
          </cell>
        </row>
        <row r="81">
          <cell r="B81" t="str">
            <v>SR518</v>
          </cell>
          <cell r="C81" t="str">
            <v>Bank AL-Jazira</v>
          </cell>
        </row>
        <row r="82">
          <cell r="B82" t="str">
            <v>SR529</v>
          </cell>
          <cell r="C82" t="str">
            <v>Riyadh Bank Saudi Arabia</v>
          </cell>
        </row>
        <row r="83">
          <cell r="B83" t="str">
            <v>SU012</v>
          </cell>
          <cell r="C83" t="str">
            <v>Peoples Bank Colombo Srilanka</v>
          </cell>
        </row>
        <row r="84">
          <cell r="B84" t="str">
            <v>SU023</v>
          </cell>
          <cell r="C84" t="str">
            <v>Muslim Commercial Bank, Colombo</v>
          </cell>
        </row>
        <row r="85">
          <cell r="B85" t="str">
            <v>UK048</v>
          </cell>
          <cell r="C85" t="str">
            <v>Barclays Bank London</v>
          </cell>
        </row>
        <row r="86">
          <cell r="B86" t="str">
            <v>UK093</v>
          </cell>
          <cell r="C86" t="str">
            <v>Midland Bank PLC London</v>
          </cell>
        </row>
        <row r="87">
          <cell r="B87" t="str">
            <v>UK106</v>
          </cell>
          <cell r="C87" t="str">
            <v>Muslim Commercial Bank ltd.Lond</v>
          </cell>
        </row>
        <row r="88">
          <cell r="B88" t="str">
            <v>UK117</v>
          </cell>
          <cell r="C88" t="str">
            <v>National Bank Of Pakistan Lond.</v>
          </cell>
        </row>
        <row r="89">
          <cell r="B89" t="str">
            <v>UK128</v>
          </cell>
          <cell r="C89" t="str">
            <v>National Westminister Bank PLC</v>
          </cell>
        </row>
        <row r="90">
          <cell r="B90" t="str">
            <v>UK811</v>
          </cell>
          <cell r="C90" t="str">
            <v>United National Bank Limited</v>
          </cell>
        </row>
        <row r="91">
          <cell r="B91" t="str">
            <v>UK844</v>
          </cell>
          <cell r="C91" t="str">
            <v>United National Bank Limited</v>
          </cell>
        </row>
        <row r="92">
          <cell r="B92" t="str">
            <v>UK855</v>
          </cell>
          <cell r="C92" t="str">
            <v>United National Bank Limited</v>
          </cell>
        </row>
        <row r="93">
          <cell r="B93" t="str">
            <v>UK866</v>
          </cell>
          <cell r="C93" t="str">
            <v>United National Bank Limited</v>
          </cell>
        </row>
        <row r="94">
          <cell r="B94" t="str">
            <v>UK902</v>
          </cell>
          <cell r="C94" t="str">
            <v>United National Bank Limited</v>
          </cell>
        </row>
        <row r="95">
          <cell r="B95" t="str">
            <v>UK913</v>
          </cell>
          <cell r="C95" t="str">
            <v>United National Bank Limited</v>
          </cell>
        </row>
        <row r="96">
          <cell r="B96" t="str">
            <v>US011</v>
          </cell>
          <cell r="C96" t="str">
            <v>American Exp.Co.NY</v>
          </cell>
        </row>
        <row r="97">
          <cell r="B97" t="str">
            <v>US022</v>
          </cell>
          <cell r="C97" t="str">
            <v>Deutsche Bank Trust Co.America</v>
          </cell>
        </row>
        <row r="98">
          <cell r="B98" t="str">
            <v>US033</v>
          </cell>
          <cell r="C98" t="str">
            <v>Bank of America , NY</v>
          </cell>
        </row>
        <row r="99">
          <cell r="B99" t="str">
            <v>US044</v>
          </cell>
          <cell r="C99" t="str">
            <v>Bank of Calicornia,San Francisco</v>
          </cell>
        </row>
        <row r="100">
          <cell r="B100" t="str">
            <v>US066</v>
          </cell>
          <cell r="C100" t="str">
            <v>Bank Of New York</v>
          </cell>
        </row>
        <row r="101">
          <cell r="B101" t="str">
            <v>US077</v>
          </cell>
          <cell r="C101" t="str">
            <v>Jpmorgan Chase Bank,New York</v>
          </cell>
        </row>
        <row r="102">
          <cell r="B102" t="str">
            <v>US102</v>
          </cell>
          <cell r="C102" t="str">
            <v>Citi Bank NA, Newyork</v>
          </cell>
        </row>
        <row r="103">
          <cell r="B103" t="str">
            <v>US124</v>
          </cell>
          <cell r="C103" t="str">
            <v>F. C. US $ Bond Discount</v>
          </cell>
        </row>
        <row r="104">
          <cell r="B104" t="str">
            <v>US135</v>
          </cell>
          <cell r="C104" t="str">
            <v>F. C. US $ Bond Accrual</v>
          </cell>
        </row>
        <row r="105">
          <cell r="B105" t="str">
            <v>US146</v>
          </cell>
          <cell r="C105" t="str">
            <v>F. C. US $ Bond Redemption</v>
          </cell>
        </row>
        <row r="106">
          <cell r="B106" t="str">
            <v>US168</v>
          </cell>
          <cell r="C106" t="str">
            <v>Fleet Bank International</v>
          </cell>
        </row>
        <row r="107">
          <cell r="B107" t="str">
            <v>US362</v>
          </cell>
          <cell r="C107" t="str">
            <v>EPZ Branch</v>
          </cell>
        </row>
        <row r="108">
          <cell r="B108" t="str">
            <v>US817</v>
          </cell>
          <cell r="C108" t="str">
            <v>UBL New York</v>
          </cell>
        </row>
        <row r="109">
          <cell r="B109" t="str">
            <v>US839</v>
          </cell>
          <cell r="C109" t="str">
            <v>F. C. US &amp; Bond Discount</v>
          </cell>
        </row>
        <row r="110">
          <cell r="B110" t="str">
            <v>US840</v>
          </cell>
          <cell r="C110" t="str">
            <v>UBL New York,   F.E.25</v>
          </cell>
        </row>
        <row r="111">
          <cell r="B111" t="str">
            <v>US862</v>
          </cell>
          <cell r="C111" t="str">
            <v>Placement with Branches US$</v>
          </cell>
        </row>
        <row r="112">
          <cell r="B112" t="str">
            <v>US873</v>
          </cell>
          <cell r="C112" t="str">
            <v>Placement agnst F.E.25 Deposit</v>
          </cell>
        </row>
        <row r="113">
          <cell r="B113" t="str">
            <v>US884</v>
          </cell>
          <cell r="C113" t="str">
            <v>UBL F.E.25  Deposit.</v>
          </cell>
        </row>
        <row r="114">
          <cell r="B114" t="str">
            <v>US895</v>
          </cell>
          <cell r="C114" t="str">
            <v>US Account Receivable</v>
          </cell>
        </row>
        <row r="115">
          <cell r="B115" t="str">
            <v>US908</v>
          </cell>
          <cell r="C115" t="str">
            <v>US Account Payable</v>
          </cell>
        </row>
        <row r="116">
          <cell r="B116" t="str">
            <v>US919</v>
          </cell>
          <cell r="C116" t="str">
            <v>Mashreq Bank New York</v>
          </cell>
        </row>
        <row r="117">
          <cell r="B117" t="str">
            <v>US920</v>
          </cell>
          <cell r="C117" t="str">
            <v>Balance with SBP 5% CR - FE25</v>
          </cell>
        </row>
        <row r="118">
          <cell r="B118" t="str">
            <v>US931</v>
          </cell>
          <cell r="C118" t="str">
            <v>Balance with SBP 15% SP CR - FE25</v>
          </cell>
        </row>
        <row r="119">
          <cell r="B119" t="str">
            <v>US942</v>
          </cell>
          <cell r="C119" t="str">
            <v>Trade related financing under FE 25</v>
          </cell>
        </row>
        <row r="120">
          <cell r="B120" t="str">
            <v>US953</v>
          </cell>
          <cell r="C120" t="str">
            <v>UBL New York fe - 31</v>
          </cell>
        </row>
        <row r="121">
          <cell r="B121" t="str">
            <v>US964</v>
          </cell>
          <cell r="C121" t="str">
            <v>UBL New Your fe 31 Deposit</v>
          </cell>
        </row>
        <row r="122">
          <cell r="B122" t="str">
            <v>US997</v>
          </cell>
          <cell r="C122" t="str">
            <v>F. C. US $ Bond Face Value</v>
          </cell>
        </row>
        <row r="136">
          <cell r="B136">
            <v>6080</v>
          </cell>
          <cell r="C136" t="str">
            <v>Balance with foreign Banks</v>
          </cell>
        </row>
        <row r="137">
          <cell r="B137">
            <v>6160</v>
          </cell>
          <cell r="C137" t="str">
            <v>Balance with Overseas Branches</v>
          </cell>
        </row>
        <row r="138">
          <cell r="B138">
            <v>6180</v>
          </cell>
          <cell r="C138" t="str">
            <v>Placement with Oerseas Branches</v>
          </cell>
        </row>
        <row r="139">
          <cell r="B139">
            <v>6190</v>
          </cell>
          <cell r="C139" t="str">
            <v>Placement with Centrtal Bank</v>
          </cell>
        </row>
        <row r="145">
          <cell r="B145">
            <v>1</v>
          </cell>
          <cell r="C145" t="str">
            <v>BY FLOPY</v>
          </cell>
        </row>
        <row r="146">
          <cell r="B146">
            <v>10336</v>
          </cell>
          <cell r="C146" t="str">
            <v>INCOME RECEIVED ON  PLACEMENT</v>
          </cell>
        </row>
        <row r="147">
          <cell r="B147">
            <v>347007</v>
          </cell>
          <cell r="C147" t="str">
            <v xml:space="preserve">SD HAJ DEPOSIT </v>
          </cell>
        </row>
        <row r="148">
          <cell r="B148">
            <v>620014</v>
          </cell>
          <cell r="C148" t="str">
            <v>INCOME A/c. PLS EXCH. GBP</v>
          </cell>
        </row>
        <row r="149">
          <cell r="B149">
            <v>620022</v>
          </cell>
          <cell r="C149" t="str">
            <v>INCOME A/c. PLS EXCH USD</v>
          </cell>
        </row>
        <row r="150">
          <cell r="B150">
            <v>620048</v>
          </cell>
          <cell r="C150" t="str">
            <v>INCOME A/c. PLS EXCH OTHER</v>
          </cell>
        </row>
        <row r="151">
          <cell r="B151">
            <v>690351</v>
          </cell>
          <cell r="C151" t="str">
            <v>INCOME GOP BOND EQT Rs.</v>
          </cell>
        </row>
        <row r="152">
          <cell r="B152">
            <v>780034</v>
          </cell>
          <cell r="C152" t="str">
            <v>GAIN / LOSS SECURITIES EQT Rs.</v>
          </cell>
        </row>
        <row r="153">
          <cell r="B153">
            <v>1150088</v>
          </cell>
          <cell r="C153" t="str">
            <v>EXP. A/C.INT. / CHARGES (FX)</v>
          </cell>
        </row>
        <row r="154">
          <cell r="B154">
            <v>1180016</v>
          </cell>
          <cell r="C154" t="str">
            <v>MARK UP PAID FUNDING COST FBPs</v>
          </cell>
        </row>
        <row r="155">
          <cell r="B155">
            <v>2010011</v>
          </cell>
          <cell r="C155" t="str">
            <v>EXPENDITURE A/c. BROKERAGE (FX)</v>
          </cell>
        </row>
        <row r="156">
          <cell r="B156">
            <v>2050087</v>
          </cell>
          <cell r="C156" t="str">
            <v>EXP. A/c. TELEX / CABLE / TP</v>
          </cell>
        </row>
        <row r="157">
          <cell r="B157">
            <v>2080025</v>
          </cell>
          <cell r="C157" t="str">
            <v>EXP. A/c. REUTERS FEE/SWIFT EXP.</v>
          </cell>
        </row>
        <row r="158">
          <cell r="B158">
            <v>3210010</v>
          </cell>
          <cell r="C158" t="str">
            <v>VOSTRO PK. Rs. CD - 16</v>
          </cell>
        </row>
        <row r="159">
          <cell r="B159">
            <v>3590482</v>
          </cell>
          <cell r="C159" t="str">
            <v>SD A/c. VOSTRO P. Rs.</v>
          </cell>
        </row>
        <row r="160">
          <cell r="B160">
            <v>4340176</v>
          </cell>
          <cell r="C160" t="str">
            <v>PROVISION FOR BROKERAGE</v>
          </cell>
        </row>
        <row r="161">
          <cell r="B161">
            <v>4340437</v>
          </cell>
          <cell r="C161" t="str">
            <v>PROVISION FOR EXCHANGE EARNING</v>
          </cell>
        </row>
        <row r="162">
          <cell r="B162">
            <v>5290135</v>
          </cell>
          <cell r="C162" t="str">
            <v>INT. PAY FBP FUNDING COST.</v>
          </cell>
        </row>
        <row r="163">
          <cell r="B163">
            <v>5610014</v>
          </cell>
          <cell r="C163" t="str">
            <v>HEAD OFFICE ACCOUNT</v>
          </cell>
        </row>
        <row r="164">
          <cell r="B164">
            <v>5610188</v>
          </cell>
          <cell r="C164" t="str">
            <v>H.O.A/C. TREASURY DIVISION</v>
          </cell>
        </row>
        <row r="165">
          <cell r="B165">
            <v>5710018</v>
          </cell>
          <cell r="C165" t="str">
            <v>HO A/c. FGN. EXCH. CELL</v>
          </cell>
        </row>
        <row r="166">
          <cell r="B166">
            <v>6030015</v>
          </cell>
          <cell r="C166" t="str">
            <v>SBP A/c.</v>
          </cell>
        </row>
        <row r="167">
          <cell r="B167">
            <v>6080018</v>
          </cell>
          <cell r="C167" t="str">
            <v>BALANCE WITH F/ BANKS</v>
          </cell>
        </row>
        <row r="168">
          <cell r="B168">
            <v>6100017</v>
          </cell>
          <cell r="C168" t="str">
            <v>LENDING TO BRANCHES (FE 25)</v>
          </cell>
        </row>
        <row r="169">
          <cell r="B169">
            <v>7550309</v>
          </cell>
          <cell r="C169" t="str">
            <v>O/A A/C UNREALIZED GAIN/LOSS ON FWD</v>
          </cell>
        </row>
        <row r="170">
          <cell r="B170">
            <v>7550505</v>
          </cell>
          <cell r="C170" t="str">
            <v>O/ASSETS</v>
          </cell>
        </row>
        <row r="171">
          <cell r="B171">
            <v>7720019</v>
          </cell>
          <cell r="C171" t="str">
            <v>O/A ADJUSTING A/c. DR.</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ew"/>
      <sheetName val="Sheet1 (4)"/>
      <sheetName val="Sheet1 (3)"/>
      <sheetName val="WeighAvShares"/>
      <sheetName val="Deferred (2)"/>
      <sheetName val="Defeered Work"/>
      <sheetName val="Taxrelief"/>
      <sheetName val="NEWAD"/>
      <sheetName val="Sheet4"/>
      <sheetName val="Sheet5"/>
      <sheetName val="Total Adjustments"/>
      <sheetName val="OLD"/>
      <sheetName val="Assets"/>
      <sheetName val="Liabiliteis"/>
      <sheetName val="Balance Sheet"/>
      <sheetName val="p&amp;l"/>
      <sheetName val="Sheet2 (2)"/>
      <sheetName val="CashFlow"/>
      <sheetName val="Sheet3 (2)"/>
      <sheetName val="Statement of Ch"/>
      <sheetName val="Notes1-5"/>
      <sheetName val="Note6-8.2"/>
      <sheetName val="Note9-9.6"/>
      <sheetName val="Note 9.7-9.8"/>
      <sheetName val="Notes10-10.4.2"/>
      <sheetName val="10.5-11.3"/>
      <sheetName val="Chart1"/>
      <sheetName val="Note 12"/>
      <sheetName val="Note12.3-15.1"/>
      <sheetName val="Note16-21.1"/>
      <sheetName val="Note22-22.7"/>
      <sheetName val="Sheet6"/>
      <sheetName val="Notes25-26.1"/>
      <sheetName val="RGHOEXPENSE"/>
      <sheetName val="Notes26.2-32"/>
      <sheetName val="Notes33-34"/>
      <sheetName val="MaturiAssets"/>
      <sheetName val="Sheet1 (2)"/>
      <sheetName val="Lease"/>
      <sheetName val="PremiumMaturity"/>
      <sheetName val="MaturLiabili"/>
      <sheetName val="Notes39-40"/>
      <sheetName val="Notes41-42.1"/>
      <sheetName val="Currency-expo"/>
      <sheetName val="Notes42.2-44"/>
      <sheetName val="Note 45"/>
      <sheetName val="Annexure"/>
      <sheetName val="affair"/>
      <sheetName val="inc-exp"/>
      <sheetName val="pinex"/>
      <sheetName val="YieldAd"/>
      <sheetName val="YieldAd-net"/>
      <sheetName val="YielDeposit"/>
      <sheetName val="Sheet1"/>
      <sheetName val="Sheet2"/>
      <sheetName val="Sheet3"/>
      <sheetName val="Notes(New)39-40"/>
      <sheetName val="SBP-Staggering"/>
      <sheetName val="Notes1_5"/>
      <sheetName val="Sheet1_(4)"/>
      <sheetName val="Sheet1_(3)"/>
      <sheetName val="Deferred_(2)"/>
      <sheetName val="Defeered_Work"/>
      <sheetName val="Total_Adjustments"/>
      <sheetName val="Balance_Sheet"/>
      <sheetName val="Sheet2_(2)"/>
      <sheetName val="Sheet3_(2)"/>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Sheet1_(2)"/>
      <sheetName val="Notes41-42_1"/>
      <sheetName val="Notes42_2-44"/>
      <sheetName val="Note_45"/>
      <sheetName val="Links"/>
      <sheetName val="Sheet1_(4)1"/>
      <sheetName val="Sheet1_(3)1"/>
      <sheetName val="Deferred_(2)1"/>
      <sheetName val="Defeered_Work1"/>
      <sheetName val="Total_Adjustments1"/>
      <sheetName val="Balance_Sheet1"/>
      <sheetName val="Sheet2_(2)1"/>
      <sheetName val="Sheet3_(2)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Sheet1_(2)1"/>
      <sheetName val="Notes41-42_11"/>
      <sheetName val="Notes42_2-441"/>
      <sheetName val="Note_451"/>
      <sheetName val="Macro1"/>
      <sheetName val="E"/>
      <sheetName val="Sheet1_(4)2"/>
      <sheetName val="Sheet1_(3)2"/>
      <sheetName val="Deferred_(2)2"/>
      <sheetName val="Defeered_Work2"/>
      <sheetName val="Total_Adjustments2"/>
      <sheetName val="Balance_Sheet2"/>
      <sheetName val="Sheet2_(2)2"/>
      <sheetName val="Sheet3_(2)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Sheet1_(2)2"/>
      <sheetName val="Notes41-42_12"/>
      <sheetName val="Notes42_2-442"/>
      <sheetName val="Note_452"/>
      <sheetName val="A-C CODE &amp; NAME"/>
      <sheetName val="MarchSL904"/>
      <sheetName val="BSDOMOVS"/>
      <sheetName val="Notes1_5_old_"/>
      <sheetName val="Value In Use - Trea"/>
      <sheetName val="3.2"/>
      <sheetName val="PL"/>
      <sheetName val="Cwip"/>
      <sheetName val="Touimi Tarek"/>
      <sheetName val="Elim"/>
      <sheetName val="Specific - Provision Financing"/>
      <sheetName val="Add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sheetData sheetId="23"/>
      <sheetData sheetId="24" refreshError="1"/>
      <sheetData sheetId="25"/>
      <sheetData sheetId="26"/>
      <sheetData sheetId="27" refreshError="1"/>
      <sheetData sheetId="28" refreshError="1"/>
      <sheetData sheetId="29"/>
      <sheetData sheetId="30"/>
      <sheetData sheetId="31"/>
      <sheetData sheetId="32" refreshError="1"/>
      <sheetData sheetId="33"/>
      <sheetData sheetId="34" refreshError="1"/>
      <sheetData sheetId="35"/>
      <sheetData sheetId="36"/>
      <sheetData sheetId="37" refreshError="1"/>
      <sheetData sheetId="38" refreshError="1"/>
      <sheetData sheetId="39" refreshError="1"/>
      <sheetData sheetId="40" refreshError="1"/>
      <sheetData sheetId="41" refreshError="1"/>
      <sheetData sheetId="42"/>
      <sheetData sheetId="43"/>
      <sheetData sheetId="44" refreshError="1"/>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10th-June-06"/>
      <sheetName val="WSP"/>
      <sheetName val="A"/>
      <sheetName val="B"/>
      <sheetName val="Schedules"/>
      <sheetName val="Public &amp; Brokers Exposure"/>
      <sheetName val="Investment"/>
      <sheetName val="LIQUIDITY SCHEDULE"/>
      <sheetName val="F-I's"/>
      <sheetName val="I kaliya "/>
      <sheetName val="Advances Working"/>
      <sheetName val="Surplus"/>
      <sheetName val="Control Sheet"/>
      <sheetName val="Public_&amp;_Brokers_Exposure"/>
      <sheetName val="LIQUIDITY_SCHEDULE"/>
      <sheetName val="I_kaliya_"/>
      <sheetName val="Advances_Working"/>
      <sheetName val="Control_Sheet"/>
      <sheetName val="Public_&amp;_Brokers_Exposure1"/>
      <sheetName val="LIQUIDITY_SCHEDULE1"/>
      <sheetName val="I_kaliya_1"/>
      <sheetName val="Advances_Working1"/>
      <sheetName val="Control_Sheet1"/>
      <sheetName val="A-C CODE &amp; NAME"/>
      <sheetName val="March 110"/>
      <sheetName val="Feb"/>
      <sheetName val="MarchSL90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est Documentation"/>
      <sheetName val="Detailed Control Testing"/>
      <sheetName val="Drop down"/>
    </sheetNames>
    <sheetDataSet>
      <sheetData sheetId="0" refreshError="1"/>
      <sheetData sheetId="1" refreshError="1"/>
      <sheetData sheetId="2">
        <row r="7">
          <cell r="C7" t="str">
            <v>Multiple times a day</v>
          </cell>
          <cell r="G7" t="str">
            <v>Yes</v>
          </cell>
        </row>
        <row r="8">
          <cell r="C8" t="str">
            <v>Daily</v>
          </cell>
          <cell r="G8" t="str">
            <v>No</v>
          </cell>
        </row>
        <row r="9">
          <cell r="C9" t="str">
            <v>Weekly</v>
          </cell>
          <cell r="G9" t="str">
            <v>N/A</v>
          </cell>
        </row>
        <row r="10">
          <cell r="C10" t="str">
            <v>Monthly</v>
          </cell>
        </row>
        <row r="11">
          <cell r="C11" t="str">
            <v>Quarterly</v>
          </cell>
        </row>
        <row r="12">
          <cell r="C12" t="str">
            <v>Annually</v>
          </cell>
        </row>
        <row r="13">
          <cell r="C13" t="str">
            <v>Other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tatement"/>
      <sheetName val="Lead"/>
      <sheetName val="Distribution statement"/>
      <sheetName val="Statement Movement"/>
      <sheetName val="Cash Flow"/>
      <sheetName val="Notes 1 - 5.1.1"/>
      <sheetName val="Notes 4.1.1"/>
      <sheetName val="Notes "/>
      <sheetName val="Notes 7.1.3.1-7.2.1"/>
      <sheetName val="Notes 1"/>
      <sheetName val="Notes 6"/>
      <sheetName val="Note 9 - 11"/>
      <sheetName val="Realization Entry"/>
      <sheetName val="Ready"/>
      <sheetName val="stata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LS-UAE"/>
      <sheetName val="Abu Dhabi"/>
      <sheetName val="TOTAL OVS BRS ST AUG 02"/>
      <sheetName val=""/>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fication"/>
      <sheetName val="CMA_Selections"/>
      <sheetName val="CMA_Calculations"/>
      <sheetName val="Population"/>
      <sheetName val="Tickmarks"/>
      <sheetName val="CMA_SampleDesign"/>
      <sheetName val="DialogInsert"/>
      <sheetName val="Population1"/>
      <sheetName val="Population (2)"/>
    </sheetNames>
    <sheetDataSet>
      <sheetData sheetId="0"/>
      <sheetData sheetId="1"/>
      <sheetData sheetId="2">
        <row r="2">
          <cell r="D2">
            <v>550908970.47020006</v>
          </cell>
        </row>
        <row r="122">
          <cell r="D122">
            <v>550908970.47020006</v>
          </cell>
          <cell r="F122">
            <v>11</v>
          </cell>
        </row>
      </sheetData>
      <sheetData sheetId="3"/>
      <sheetData sheetId="4"/>
      <sheetData sheetId="5" refreshError="1"/>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BSDOMOVS"/>
      <sheetName val="LS-UAE"/>
      <sheetName val="ASSETS"/>
      <sheetName val="OUTSTANDING FX-SWAP"/>
      <sheetName val="Code"/>
      <sheetName val="Lookups"/>
      <sheetName val="Pool"/>
      <sheetName val="RC-0997"/>
      <sheetName val="Macro1"/>
      <sheetName val="A-C CODE &amp; NAME"/>
      <sheetName val="TABLES"/>
      <sheetName val="actual (2)"/>
      <sheetName val="B2 STMT"/>
      <sheetName val="List"/>
      <sheetName val="T-BILL"/>
      <sheetName val="Abu Dhabi"/>
      <sheetName val="1-bwb(cb)"/>
      <sheetName val="Implied Rate"/>
      <sheetName val="Rating"/>
      <sheetName val="INPUT"/>
      <sheetName val="RATE"/>
      <sheetName val="BS-OVS"/>
      <sheetName val="PKRV"/>
      <sheetName val="B2 STMT - F"/>
      <sheetName val="ADI"/>
      <sheetName val="II- INV CO"/>
      <sheetName val="OUTSTANDING_FX-SWAP"/>
      <sheetName val="A-C_CODE_&amp;_NAME"/>
      <sheetName val="actual_(2)"/>
      <sheetName val="B2_STMT"/>
      <sheetName val="Abu_Dhabi"/>
      <sheetName val="Implied_Rate"/>
      <sheetName val="B2_STMT_-_F"/>
      <sheetName val="Product &amp; TL list"/>
      <sheetName val="TL List"/>
      <sheetName val="WEEKLY 1"/>
      <sheetName val="RATES"/>
      <sheetName val="B-SHEET"/>
      <sheetName val="AVERAGES"/>
      <sheetName val="OUTSTANDING_FX-SWAP1"/>
      <sheetName val="A-C_CODE_&amp;_NAME1"/>
      <sheetName val="actual_(2)1"/>
      <sheetName val="B2_STMT1"/>
      <sheetName val="Abu_Dhabi1"/>
      <sheetName val="Implied_Rate1"/>
      <sheetName val="B2_STMT_-_F1"/>
      <sheetName val="Product_&amp;_TL_list"/>
      <sheetName val="TL_List"/>
      <sheetName val="II-_INV_CO"/>
      <sheetName val="tran"/>
      <sheetName val="tb"/>
      <sheetName val="Sheet3"/>
      <sheetName val="Variables"/>
      <sheetName val="Sheet Tally! PNL PRODUCT"/>
      <sheetName val="PNL Assorted"/>
      <sheetName val="Switch &amp; IBFT"/>
      <sheetName val="Sheet Tally! PNL PRODUCT in Mn."/>
      <sheetName val="Switch"/>
      <sheetName val="IBFT"/>
      <sheetName val="BPS PNL"/>
      <sheetName val="SDRS"/>
      <sheetName val="Recertification &amp; Others"/>
      <sheetName val="PayPak"/>
      <sheetName val="VISA PNL"/>
      <sheetName val="Loyalty"/>
      <sheetName val="OTC PNL"/>
      <sheetName val="POS"/>
      <sheetName val="CUP PNL"/>
      <sheetName val="JCB"/>
      <sheetName val="MasterCard PNL"/>
      <sheetName val="FRMS PNL"/>
      <sheetName val="PERSO"/>
      <sheetName val="BR"/>
      <sheetName val="FS"/>
      <sheetName val="Software sum (Main Cal Hidden)"/>
      <sheetName val="Sheet tally"/>
      <sheetName val="Software Bifurcation June 2019"/>
      <sheetName val="Hardware Calcu Sum"/>
      <sheetName val="Main Calcus"/>
      <sheetName val="GPS Settlement"/>
      <sheetName val="Total TPS Tally"/>
      <sheetName val="Segment"/>
      <sheetName val="last qrt2001"/>
      <sheetName val="last_qrt2001"/>
      <sheetName val="Final"/>
      <sheetName val="MODEL"/>
      <sheetName val="handout_data"/>
      <sheetName val="Data"/>
      <sheetName val="Control"/>
      <sheetName val="Frontpage"/>
      <sheetName val="Stock"/>
      <sheetName val="Revenue-Fire-Marine-Motor"/>
      <sheetName val="OUTSTANDING_FX-SWAP2"/>
      <sheetName val="A-C_CODE_&amp;_NAME2"/>
      <sheetName val="actual_(2)2"/>
      <sheetName val="B2_STMT2"/>
      <sheetName val="Abu_Dhabi2"/>
      <sheetName val="Implied_Rate2"/>
      <sheetName val="B2_STMT_-_F2"/>
      <sheetName val="Product_&amp;_TL_list1"/>
      <sheetName val="TL_List1"/>
      <sheetName val="II-_INV_CO1"/>
      <sheetName val="Sheet2"/>
      <sheetName val="Sheet1"/>
    </sheetNames>
    <sheetDataSet>
      <sheetData sheetId="0" refreshError="1">
        <row r="8">
          <cell r="O8" t="str">
            <v>||\027\033\068</v>
          </cell>
        </row>
        <row r="16">
          <cell r="L16">
            <v>2300000</v>
          </cell>
          <cell r="Q16" t="e">
            <v>#REF!</v>
          </cell>
          <cell r="Y16">
            <v>0</v>
          </cell>
        </row>
        <row r="17">
          <cell r="L17">
            <v>33660.413</v>
          </cell>
          <cell r="Q17" t="e">
            <v>#REF!</v>
          </cell>
          <cell r="Y17">
            <v>106941.372</v>
          </cell>
        </row>
        <row r="18">
          <cell r="L18">
            <v>0</v>
          </cell>
          <cell r="Q18" t="e">
            <v>#REF!</v>
          </cell>
          <cell r="Y18">
            <v>0</v>
          </cell>
        </row>
        <row r="19">
          <cell r="L19">
            <v>0</v>
          </cell>
          <cell r="Q19" t="e">
            <v>#REF!</v>
          </cell>
          <cell r="Y19">
            <v>1895000</v>
          </cell>
        </row>
        <row r="20">
          <cell r="L20">
            <v>0</v>
          </cell>
          <cell r="Q20" t="e">
            <v>#REF!</v>
          </cell>
          <cell r="Y20">
            <v>0</v>
          </cell>
        </row>
        <row r="21">
          <cell r="L21">
            <v>2817064.3510000003</v>
          </cell>
          <cell r="Q21" t="e">
            <v>#REF!</v>
          </cell>
          <cell r="Y21">
            <v>15963.751</v>
          </cell>
        </row>
        <row r="22">
          <cell r="L22">
            <v>0</v>
          </cell>
          <cell r="Q22" t="e">
            <v>#REF!</v>
          </cell>
          <cell r="Y22">
            <v>0</v>
          </cell>
        </row>
        <row r="23">
          <cell r="L23">
            <v>0</v>
          </cell>
          <cell r="Q23" t="e">
            <v>#REF!</v>
          </cell>
          <cell r="Y23">
            <v>11375.326999999999</v>
          </cell>
        </row>
        <row r="24">
          <cell r="L24">
            <v>0</v>
          </cell>
          <cell r="Q24" t="e">
            <v>#REF!</v>
          </cell>
          <cell r="Y24">
            <v>0</v>
          </cell>
        </row>
        <row r="25">
          <cell r="L25">
            <v>0</v>
          </cell>
          <cell r="Q25" t="e">
            <v>#REF!</v>
          </cell>
          <cell r="Y25">
            <v>0</v>
          </cell>
        </row>
        <row r="26">
          <cell r="L26">
            <v>0</v>
          </cell>
          <cell r="Q26" t="e">
            <v>#REF!</v>
          </cell>
          <cell r="Y26">
            <v>-153169.35200000001</v>
          </cell>
        </row>
        <row r="27">
          <cell r="L27">
            <v>0</v>
          </cell>
          <cell r="Q27" t="e">
            <v>#REF!</v>
          </cell>
          <cell r="Y27">
            <v>13001885.411</v>
          </cell>
        </row>
        <row r="28">
          <cell r="L28">
            <v>0</v>
          </cell>
          <cell r="Q28" t="e">
            <v>#REF!</v>
          </cell>
          <cell r="Y28">
            <v>0</v>
          </cell>
        </row>
        <row r="29">
          <cell r="L29">
            <v>0</v>
          </cell>
          <cell r="Q29" t="e">
            <v>#REF!</v>
          </cell>
          <cell r="Y29">
            <v>2940600</v>
          </cell>
        </row>
        <row r="30">
          <cell r="L30">
            <v>1720250.2149999999</v>
          </cell>
          <cell r="Q30" t="e">
            <v>#REF!</v>
          </cell>
          <cell r="Y30">
            <v>0</v>
          </cell>
        </row>
        <row r="31">
          <cell r="L31">
            <v>52433.093999999997</v>
          </cell>
          <cell r="Q31" t="e">
            <v>#REF!</v>
          </cell>
          <cell r="Y31">
            <v>0</v>
          </cell>
        </row>
        <row r="32">
          <cell r="L32">
            <v>219566.79</v>
          </cell>
          <cell r="Q32" t="e">
            <v>#REF!</v>
          </cell>
          <cell r="Y32">
            <v>592768.07499999995</v>
          </cell>
        </row>
        <row r="33">
          <cell r="L33">
            <v>0</v>
          </cell>
          <cell r="Q33" t="e">
            <v>#REF!</v>
          </cell>
          <cell r="Y33">
            <v>0</v>
          </cell>
        </row>
        <row r="34">
          <cell r="L34">
            <v>40699</v>
          </cell>
          <cell r="Q34" t="e">
            <v>#REF!</v>
          </cell>
          <cell r="Y34">
            <v>0</v>
          </cell>
        </row>
        <row r="35">
          <cell r="L35">
            <v>0</v>
          </cell>
          <cell r="Q35" t="e">
            <v>#REF!</v>
          </cell>
          <cell r="Y35">
            <v>0</v>
          </cell>
        </row>
        <row r="36">
          <cell r="L36">
            <v>36162.53</v>
          </cell>
          <cell r="Q36" t="e">
            <v>#REF!</v>
          </cell>
          <cell r="Y36">
            <v>39693.930999999997</v>
          </cell>
        </row>
        <row r="37">
          <cell r="L37">
            <v>126981.822</v>
          </cell>
          <cell r="Q37" t="e">
            <v>#REF!</v>
          </cell>
          <cell r="Y37">
            <v>4519235.5609999998</v>
          </cell>
        </row>
        <row r="38">
          <cell r="L38">
            <v>0</v>
          </cell>
          <cell r="Q38" t="e">
            <v>#REF!</v>
          </cell>
          <cell r="Y38">
            <v>0</v>
          </cell>
        </row>
        <row r="39">
          <cell r="L39">
            <v>23755.813999999998</v>
          </cell>
          <cell r="Q39" t="e">
            <v>#REF!</v>
          </cell>
          <cell r="Y39">
            <v>252000</v>
          </cell>
        </row>
        <row r="40">
          <cell r="L40">
            <v>0</v>
          </cell>
          <cell r="Q40" t="e">
            <v>#REF!</v>
          </cell>
          <cell r="Y40">
            <v>25000</v>
          </cell>
        </row>
        <row r="41">
          <cell r="L41">
            <v>4080600</v>
          </cell>
          <cell r="Q41" t="e">
            <v>#REF!</v>
          </cell>
          <cell r="Y41">
            <v>1510873.9300000002</v>
          </cell>
        </row>
        <row r="42">
          <cell r="L42">
            <v>0</v>
          </cell>
          <cell r="Q42" t="e">
            <v>#REF!</v>
          </cell>
          <cell r="Y42">
            <v>0</v>
          </cell>
        </row>
        <row r="43">
          <cell r="L43">
            <v>12141.620999999999</v>
          </cell>
          <cell r="Q43" t="e">
            <v>#REF!</v>
          </cell>
          <cell r="Y43">
            <v>4641809.2860000003</v>
          </cell>
        </row>
        <row r="44">
          <cell r="L44">
            <v>0</v>
          </cell>
          <cell r="Q44" t="e">
            <v>#REF!</v>
          </cell>
          <cell r="Y44">
            <v>0</v>
          </cell>
        </row>
        <row r="45">
          <cell r="L45">
            <v>0</v>
          </cell>
          <cell r="Q45" t="e">
            <v>#REF!</v>
          </cell>
          <cell r="Y45">
            <v>0</v>
          </cell>
        </row>
        <row r="46">
          <cell r="L46">
            <v>0</v>
          </cell>
          <cell r="Q46" t="e">
            <v>#REF!</v>
          </cell>
          <cell r="Y46">
            <v>0</v>
          </cell>
        </row>
        <row r="48">
          <cell r="L48">
            <v>1246347.0989999999</v>
          </cell>
          <cell r="Q48" t="e">
            <v>#REF!</v>
          </cell>
          <cell r="Y48">
            <v>3282.598</v>
          </cell>
        </row>
        <row r="49">
          <cell r="L49">
            <v>0</v>
          </cell>
          <cell r="Q49" t="e">
            <v>#REF!</v>
          </cell>
          <cell r="Y49">
            <v>175290.41999999998</v>
          </cell>
        </row>
        <row r="50">
          <cell r="L50">
            <v>0</v>
          </cell>
          <cell r="Q50" t="e">
            <v>#REF!</v>
          </cell>
          <cell r="Y50">
            <v>3488648.6310000001</v>
          </cell>
        </row>
        <row r="51">
          <cell r="L51">
            <v>7169953.6749999998</v>
          </cell>
          <cell r="Q51" t="e">
            <v>#REF!</v>
          </cell>
          <cell r="Y51">
            <v>0</v>
          </cell>
        </row>
        <row r="52">
          <cell r="L52">
            <v>0</v>
          </cell>
          <cell r="Q52" t="e">
            <v>#REF!</v>
          </cell>
          <cell r="Y52">
            <v>31898.387999999999</v>
          </cell>
        </row>
        <row r="53">
          <cell r="L53">
            <v>13759768.784</v>
          </cell>
          <cell r="Q53" t="e">
            <v>#REF!</v>
          </cell>
          <cell r="Y53">
            <v>0</v>
          </cell>
        </row>
        <row r="54">
          <cell r="L54">
            <v>0</v>
          </cell>
          <cell r="Q54" t="e">
            <v>#REF!</v>
          </cell>
          <cell r="Y54">
            <v>732765.84</v>
          </cell>
        </row>
        <row r="55">
          <cell r="L55">
            <v>0</v>
          </cell>
          <cell r="Q55" t="e">
            <v>#REF!</v>
          </cell>
          <cell r="Y55">
            <v>211700</v>
          </cell>
        </row>
        <row r="56">
          <cell r="L56">
            <v>11611.779999999999</v>
          </cell>
          <cell r="Q56" t="e">
            <v>#REF!</v>
          </cell>
          <cell r="Y56">
            <v>47027.165999999997</v>
          </cell>
        </row>
        <row r="57">
          <cell r="L57">
            <v>0</v>
          </cell>
          <cell r="Q57" t="e">
            <v>#REF!</v>
          </cell>
          <cell r="Y57">
            <v>0</v>
          </cell>
        </row>
        <row r="58">
          <cell r="L58">
            <v>0</v>
          </cell>
          <cell r="Q58" t="e">
            <v>#REF!</v>
          </cell>
          <cell r="Y58">
            <v>0</v>
          </cell>
        </row>
        <row r="59">
          <cell r="L59">
            <v>0</v>
          </cell>
          <cell r="Q59" t="e">
            <v>#REF!</v>
          </cell>
          <cell r="Y59">
            <v>0</v>
          </cell>
        </row>
        <row r="60">
          <cell r="L60">
            <v>0</v>
          </cell>
          <cell r="Q60" t="e">
            <v>#REF!</v>
          </cell>
          <cell r="Y60">
            <v>0</v>
          </cell>
        </row>
        <row r="61">
          <cell r="L61">
            <v>0</v>
          </cell>
          <cell r="Q61" t="e">
            <v>#REF!</v>
          </cell>
          <cell r="Y61">
            <v>95017.777000000002</v>
          </cell>
        </row>
        <row r="62">
          <cell r="L62">
            <v>0</v>
          </cell>
          <cell r="Q62" t="e">
            <v>#REF!</v>
          </cell>
          <cell r="Y62">
            <v>3121.0209999999997</v>
          </cell>
        </row>
        <row r="63">
          <cell r="L63">
            <v>177617.62599999999</v>
          </cell>
          <cell r="Q63" t="e">
            <v>#REF!</v>
          </cell>
          <cell r="Y63">
            <v>0</v>
          </cell>
        </row>
        <row r="64">
          <cell r="L64">
            <v>0</v>
          </cell>
          <cell r="Q64" t="e">
            <v>#REF!</v>
          </cell>
          <cell r="Y64">
            <v>311.3</v>
          </cell>
        </row>
        <row r="65">
          <cell r="L65">
            <v>0</v>
          </cell>
          <cell r="Q65" t="e">
            <v>#REF!</v>
          </cell>
          <cell r="Y65">
            <v>0</v>
          </cell>
        </row>
        <row r="66">
          <cell r="L66">
            <v>0</v>
          </cell>
          <cell r="Q66" t="e">
            <v>#REF!</v>
          </cell>
          <cell r="Y66">
            <v>0</v>
          </cell>
        </row>
        <row r="67">
          <cell r="L67">
            <v>0</v>
          </cell>
          <cell r="Q67" t="e">
            <v>#REF!</v>
          </cell>
          <cell r="Y67">
            <v>0</v>
          </cell>
        </row>
        <row r="68">
          <cell r="L68">
            <v>0</v>
          </cell>
          <cell r="Q68" t="e">
            <v>#REF!</v>
          </cell>
          <cell r="Y68">
            <v>0</v>
          </cell>
        </row>
        <row r="69">
          <cell r="L69">
            <v>0</v>
          </cell>
          <cell r="Q69" t="e">
            <v>#REF!</v>
          </cell>
          <cell r="Y69">
            <v>0</v>
          </cell>
        </row>
        <row r="70">
          <cell r="L70">
            <v>524515.14500000002</v>
          </cell>
          <cell r="Q70" t="e">
            <v>#REF!</v>
          </cell>
          <cell r="Y70">
            <v>0</v>
          </cell>
        </row>
        <row r="71">
          <cell r="L71">
            <v>0</v>
          </cell>
          <cell r="Q71" t="e">
            <v>#REF!</v>
          </cell>
          <cell r="Y71">
            <v>0</v>
          </cell>
        </row>
        <row r="72">
          <cell r="L72">
            <v>0</v>
          </cell>
          <cell r="Q72" t="e">
            <v>#REF!</v>
          </cell>
          <cell r="Y72">
            <v>0</v>
          </cell>
        </row>
        <row r="73">
          <cell r="L73">
            <v>0</v>
          </cell>
          <cell r="Q73" t="e">
            <v>#REF!</v>
          </cell>
          <cell r="Y73">
            <v>100</v>
          </cell>
        </row>
        <row r="74">
          <cell r="L74">
            <v>0</v>
          </cell>
          <cell r="Q74" t="e">
            <v>#REF!</v>
          </cell>
          <cell r="Y74">
            <v>0</v>
          </cell>
        </row>
        <row r="75">
          <cell r="L75">
            <v>0</v>
          </cell>
          <cell r="Q75" t="e">
            <v>#REF!</v>
          </cell>
          <cell r="Y75">
            <v>0</v>
          </cell>
        </row>
        <row r="77">
          <cell r="L77">
            <v>0</v>
          </cell>
          <cell r="Q77" t="e">
            <v>#REF!</v>
          </cell>
          <cell r="Y77">
            <v>0</v>
          </cell>
        </row>
        <row r="78">
          <cell r="L78">
            <v>0</v>
          </cell>
          <cell r="Q78" t="e">
            <v>#REF!</v>
          </cell>
          <cell r="Y78">
            <v>0</v>
          </cell>
        </row>
        <row r="79">
          <cell r="L79">
            <v>0</v>
          </cell>
          <cell r="Q79" t="e">
            <v>#REF!</v>
          </cell>
          <cell r="Y79">
            <v>0</v>
          </cell>
        </row>
        <row r="80">
          <cell r="L80">
            <v>0</v>
          </cell>
          <cell r="Q80" t="e">
            <v>#REF!</v>
          </cell>
          <cell r="Y80">
            <v>132817.76799999998</v>
          </cell>
        </row>
        <row r="81">
          <cell r="L81">
            <v>0</v>
          </cell>
          <cell r="Q81" t="e">
            <v>#REF!</v>
          </cell>
          <cell r="Y81">
            <v>0</v>
          </cell>
        </row>
        <row r="82">
          <cell r="L82">
            <v>0</v>
          </cell>
          <cell r="Q82" t="e">
            <v>#REF!</v>
          </cell>
          <cell r="Y82">
            <v>0</v>
          </cell>
        </row>
        <row r="83">
          <cell r="L83">
            <v>0</v>
          </cell>
          <cell r="Q83" t="e">
            <v>#REF!</v>
          </cell>
          <cell r="Y83">
            <v>0</v>
          </cell>
        </row>
        <row r="84">
          <cell r="L84">
            <v>0</v>
          </cell>
          <cell r="Q84" t="e">
            <v>#REF!</v>
          </cell>
          <cell r="Y84">
            <v>0</v>
          </cell>
        </row>
        <row r="85">
          <cell r="L85">
            <v>11593</v>
          </cell>
          <cell r="Q85" t="e">
            <v>#REF!</v>
          </cell>
          <cell r="Y85">
            <v>11593</v>
          </cell>
        </row>
        <row r="86">
          <cell r="L86">
            <v>2396683</v>
          </cell>
          <cell r="Q86" t="e">
            <v>#REF!</v>
          </cell>
          <cell r="Y86">
            <v>2396683</v>
          </cell>
        </row>
        <row r="87">
          <cell r="L87">
            <v>244566</v>
          </cell>
          <cell r="Q87" t="e">
            <v>#REF!</v>
          </cell>
          <cell r="Y87">
            <v>244566</v>
          </cell>
        </row>
        <row r="88">
          <cell r="L88">
            <v>731613.6</v>
          </cell>
          <cell r="Q88" t="e">
            <v>#REF!</v>
          </cell>
          <cell r="Y88">
            <v>731613.6</v>
          </cell>
        </row>
        <row r="89">
          <cell r="L89">
            <v>0</v>
          </cell>
          <cell r="Q89" t="e">
            <v>#REF!</v>
          </cell>
          <cell r="Y89">
            <v>0</v>
          </cell>
        </row>
        <row r="90">
          <cell r="L90">
            <v>17900</v>
          </cell>
          <cell r="Q90" t="e">
            <v>#REF!</v>
          </cell>
          <cell r="Y90">
            <v>17900</v>
          </cell>
        </row>
        <row r="91">
          <cell r="L91">
            <v>0</v>
          </cell>
          <cell r="Q91" t="e">
            <v>#REF!</v>
          </cell>
          <cell r="Y91">
            <v>0</v>
          </cell>
        </row>
        <row r="92">
          <cell r="L92">
            <v>4721528.4210000001</v>
          </cell>
          <cell r="Q92" t="e">
            <v>#REF!</v>
          </cell>
          <cell r="Y92">
            <v>4719039.5659999996</v>
          </cell>
        </row>
        <row r="93">
          <cell r="L93">
            <v>0</v>
          </cell>
          <cell r="Q93" t="e">
            <v>#REF!</v>
          </cell>
          <cell r="Y93">
            <v>0</v>
          </cell>
        </row>
        <row r="94">
          <cell r="L94">
            <v>3732499.0830000001</v>
          </cell>
          <cell r="Q94" t="e">
            <v>#REF!</v>
          </cell>
          <cell r="Y94">
            <v>3766159.4960000003</v>
          </cell>
        </row>
        <row r="95">
          <cell r="L95">
            <v>0</v>
          </cell>
          <cell r="Q95" t="e">
            <v>#REF!</v>
          </cell>
          <cell r="Y95">
            <v>0</v>
          </cell>
        </row>
        <row r="97">
          <cell r="L97" t="str">
            <v>-</v>
          </cell>
          <cell r="Q97" t="str">
            <v>-</v>
          </cell>
          <cell r="Y97" t="str">
            <v>-</v>
          </cell>
        </row>
        <row r="98">
          <cell r="L98">
            <v>46209512.862999998</v>
          </cell>
          <cell r="Q98" t="e">
            <v>#REF!</v>
          </cell>
          <cell r="Y98">
            <v>46209512.863000005</v>
          </cell>
        </row>
        <row r="99">
          <cell r="L99" t="str">
            <v>-</v>
          </cell>
          <cell r="Q99" t="str">
            <v>-</v>
          </cell>
          <cell r="Y99" t="str">
            <v>-</v>
          </cell>
        </row>
        <row r="100">
          <cell r="L100">
            <v>46209512.862999998</v>
          </cell>
          <cell r="Q100" t="e">
            <v>#REF!</v>
          </cell>
          <cell r="Y100">
            <v>46209512.862999998</v>
          </cell>
        </row>
        <row r="101">
          <cell r="L101" t="str">
            <v>-</v>
          </cell>
          <cell r="Q101" t="str">
            <v>-</v>
          </cell>
          <cell r="Y101" t="str">
            <v>-</v>
          </cell>
        </row>
        <row r="102">
          <cell r="L102">
            <v>0</v>
          </cell>
          <cell r="Q102" t="e">
            <v>#REF!</v>
          </cell>
          <cell r="Y102">
            <v>0</v>
          </cell>
        </row>
        <row r="103">
          <cell r="L103" t="str">
            <v>-</v>
          </cell>
          <cell r="Q103" t="str">
            <v>-</v>
          </cell>
          <cell r="Y103" t="str">
            <v>-</v>
          </cell>
        </row>
        <row r="104">
          <cell r="L104">
            <v>28488660.443999998</v>
          </cell>
          <cell r="Q104" t="e">
            <v>#REF!</v>
          </cell>
          <cell r="Y104">
            <v>15679225.751</v>
          </cell>
        </row>
        <row r="105">
          <cell r="L105" t="str">
            <v>-</v>
          </cell>
          <cell r="Q105" t="str">
            <v>-</v>
          </cell>
          <cell r="Y105" t="str">
            <v>-</v>
          </cell>
        </row>
        <row r="112">
          <cell r="O112" t="str">
            <v>||\027\033\068</v>
          </cell>
        </row>
        <row r="118">
          <cell r="D118" t="e">
            <v>#REF!</v>
          </cell>
        </row>
        <row r="119">
          <cell r="D119" t="e">
            <v>#REF!</v>
          </cell>
        </row>
        <row r="120">
          <cell r="D120" t="e">
            <v>#REF!</v>
          </cell>
        </row>
        <row r="121">
          <cell r="D121" t="e">
            <v>#REF!</v>
          </cell>
        </row>
        <row r="122">
          <cell r="D122" t="e">
            <v>#REF!</v>
          </cell>
        </row>
        <row r="123">
          <cell r="D123" t="e">
            <v>#REF!</v>
          </cell>
        </row>
        <row r="124">
          <cell r="D124" t="e">
            <v>#REF!</v>
          </cell>
        </row>
        <row r="125">
          <cell r="D125" t="e">
            <v>#REF!</v>
          </cell>
        </row>
        <row r="126">
          <cell r="D126" t="e">
            <v>#REF!</v>
          </cell>
        </row>
        <row r="127">
          <cell r="D127" t="e">
            <v>#REF!</v>
          </cell>
        </row>
        <row r="128">
          <cell r="D128" t="e">
            <v>#REF!</v>
          </cell>
        </row>
        <row r="129">
          <cell r="D129" t="e">
            <v>#REF!</v>
          </cell>
        </row>
        <row r="130">
          <cell r="D130" t="e">
            <v>#REF!</v>
          </cell>
        </row>
        <row r="131">
          <cell r="D131" t="e">
            <v>#REF!</v>
          </cell>
        </row>
        <row r="132">
          <cell r="D132" t="e">
            <v>#REF!</v>
          </cell>
        </row>
        <row r="133">
          <cell r="D133" t="e">
            <v>#REF!</v>
          </cell>
        </row>
        <row r="134">
          <cell r="D134" t="e">
            <v>#REF!</v>
          </cell>
        </row>
        <row r="135">
          <cell r="D135" t="e">
            <v>#REF!</v>
          </cell>
        </row>
        <row r="136">
          <cell r="D136" t="e">
            <v>#REF!</v>
          </cell>
        </row>
        <row r="137">
          <cell r="D137" t="e">
            <v>#REF!</v>
          </cell>
        </row>
        <row r="138">
          <cell r="D138" t="e">
            <v>#REF!</v>
          </cell>
        </row>
        <row r="139">
          <cell r="D139" t="e">
            <v>#REF!</v>
          </cell>
        </row>
        <row r="140">
          <cell r="D140" t="e">
            <v>#REF!</v>
          </cell>
        </row>
        <row r="141">
          <cell r="D141" t="e">
            <v>#REF!</v>
          </cell>
        </row>
        <row r="142">
          <cell r="D142" t="e">
            <v>#REF!</v>
          </cell>
        </row>
        <row r="143">
          <cell r="D143" t="e">
            <v>#REF!</v>
          </cell>
        </row>
        <row r="144">
          <cell r="D144" t="e">
            <v>#REF!</v>
          </cell>
        </row>
        <row r="145">
          <cell r="D145" t="e">
            <v>#REF!</v>
          </cell>
        </row>
        <row r="146">
          <cell r="D146" t="e">
            <v>#REF!</v>
          </cell>
        </row>
        <row r="147">
          <cell r="D147" t="e">
            <v>#REF!</v>
          </cell>
        </row>
        <row r="148">
          <cell r="D148" t="e">
            <v>#REF!</v>
          </cell>
        </row>
        <row r="150">
          <cell r="D150" t="e">
            <v>#REF!</v>
          </cell>
        </row>
        <row r="151">
          <cell r="D151" t="e">
            <v>#REF!</v>
          </cell>
        </row>
        <row r="152">
          <cell r="D152" t="e">
            <v>#REF!</v>
          </cell>
        </row>
        <row r="153">
          <cell r="D153" t="e">
            <v>#REF!</v>
          </cell>
        </row>
        <row r="154">
          <cell r="D154" t="e">
            <v>#REF!</v>
          </cell>
        </row>
        <row r="155">
          <cell r="D155" t="e">
            <v>#REF!</v>
          </cell>
        </row>
        <row r="156">
          <cell r="D156" t="e">
            <v>#REF!</v>
          </cell>
        </row>
        <row r="157">
          <cell r="D157" t="e">
            <v>#REF!</v>
          </cell>
        </row>
        <row r="158">
          <cell r="D158" t="e">
            <v>#REF!</v>
          </cell>
        </row>
        <row r="159">
          <cell r="D159" t="e">
            <v>#REF!</v>
          </cell>
        </row>
        <row r="160">
          <cell r="D160" t="e">
            <v>#REF!</v>
          </cell>
        </row>
        <row r="161">
          <cell r="D161" t="e">
            <v>#REF!</v>
          </cell>
        </row>
        <row r="162">
          <cell r="D162" t="e">
            <v>#REF!</v>
          </cell>
        </row>
        <row r="163">
          <cell r="D163" t="e">
            <v>#REF!</v>
          </cell>
        </row>
        <row r="164">
          <cell r="D164" t="e">
            <v>#REF!</v>
          </cell>
        </row>
        <row r="165">
          <cell r="D165" t="e">
            <v>#REF!</v>
          </cell>
        </row>
        <row r="166">
          <cell r="D166" t="e">
            <v>#REF!</v>
          </cell>
        </row>
        <row r="167">
          <cell r="D167" t="e">
            <v>#REF!</v>
          </cell>
        </row>
        <row r="168">
          <cell r="D168" t="e">
            <v>#REF!</v>
          </cell>
        </row>
        <row r="169">
          <cell r="D169" t="e">
            <v>#REF!</v>
          </cell>
        </row>
        <row r="170">
          <cell r="D170" t="e">
            <v>#REF!</v>
          </cell>
        </row>
        <row r="171">
          <cell r="D171" t="e">
            <v>#REF!</v>
          </cell>
        </row>
        <row r="172">
          <cell r="D172" t="e">
            <v>#REF!</v>
          </cell>
        </row>
        <row r="173">
          <cell r="D173" t="e">
            <v>#REF!</v>
          </cell>
        </row>
        <row r="174">
          <cell r="D174" t="e">
            <v>#REF!</v>
          </cell>
        </row>
        <row r="175">
          <cell r="D175" t="e">
            <v>#REF!</v>
          </cell>
        </row>
        <row r="176">
          <cell r="D176" t="e">
            <v>#REF!</v>
          </cell>
        </row>
        <row r="177">
          <cell r="D177" t="e">
            <v>#REF!</v>
          </cell>
        </row>
        <row r="179">
          <cell r="D179" t="e">
            <v>#REF!</v>
          </cell>
        </row>
        <row r="180">
          <cell r="D180" t="e">
            <v>#REF!</v>
          </cell>
        </row>
        <row r="181">
          <cell r="D181" t="e">
            <v>#REF!</v>
          </cell>
        </row>
        <row r="182">
          <cell r="D182" t="e">
            <v>#REF!</v>
          </cell>
        </row>
        <row r="183">
          <cell r="D183" t="e">
            <v>#REF!</v>
          </cell>
        </row>
        <row r="184">
          <cell r="D184" t="e">
            <v>#REF!</v>
          </cell>
        </row>
        <row r="185">
          <cell r="D185" t="e">
            <v>#REF!</v>
          </cell>
        </row>
        <row r="186">
          <cell r="D186" t="e">
            <v>#REF!</v>
          </cell>
        </row>
        <row r="187">
          <cell r="D187" t="e">
            <v>#REF!</v>
          </cell>
        </row>
        <row r="188">
          <cell r="D188" t="e">
            <v>#REF!</v>
          </cell>
        </row>
        <row r="189">
          <cell r="D189" t="e">
            <v>#REF!</v>
          </cell>
        </row>
        <row r="190">
          <cell r="D190" t="e">
            <v>#REF!</v>
          </cell>
        </row>
        <row r="191">
          <cell r="D191" t="e">
            <v>#REF!</v>
          </cell>
        </row>
        <row r="192">
          <cell r="D192" t="e">
            <v>#REF!</v>
          </cell>
        </row>
        <row r="193">
          <cell r="D193" t="e">
            <v>#REF!</v>
          </cell>
        </row>
        <row r="194">
          <cell r="D194" t="e">
            <v>#REF!</v>
          </cell>
        </row>
        <row r="195">
          <cell r="D195" t="e">
            <v>#REF!</v>
          </cell>
        </row>
        <row r="196">
          <cell r="D196" t="e">
            <v>#REF!</v>
          </cell>
        </row>
        <row r="197">
          <cell r="D197" t="e">
            <v>#REF!</v>
          </cell>
        </row>
        <row r="199">
          <cell r="D199" t="str">
            <v>-</v>
          </cell>
        </row>
        <row r="200">
          <cell r="D200" t="e">
            <v>#REF!</v>
          </cell>
        </row>
        <row r="201">
          <cell r="D201" t="str">
            <v>-</v>
          </cell>
        </row>
        <row r="202">
          <cell r="D202" t="e">
            <v>#REF!</v>
          </cell>
        </row>
        <row r="203">
          <cell r="D203" t="str">
            <v>-</v>
          </cell>
        </row>
        <row r="204">
          <cell r="D204" t="e">
            <v>#REF!</v>
          </cell>
        </row>
        <row r="205">
          <cell r="D205" t="str">
            <v>-</v>
          </cell>
        </row>
        <row r="206">
          <cell r="D206" t="e">
            <v>#REF!</v>
          </cell>
        </row>
        <row r="207">
          <cell r="D207" t="str">
            <v>-</v>
          </cell>
        </row>
        <row r="214">
          <cell r="A214" t="str">
            <v>||\027\033\068</v>
          </cell>
        </row>
        <row r="216">
          <cell r="O216" t="str">
            <v>||\027\033\068</v>
          </cell>
        </row>
        <row r="224">
          <cell r="L224">
            <v>750000000</v>
          </cell>
          <cell r="S224">
            <v>0</v>
          </cell>
          <cell r="Y224">
            <v>4374151.68</v>
          </cell>
        </row>
        <row r="225">
          <cell r="L225">
            <v>14604455.57</v>
          </cell>
          <cell r="S225">
            <v>238769.23000000004</v>
          </cell>
          <cell r="Y225">
            <v>5513382.3399999999</v>
          </cell>
        </row>
        <row r="226">
          <cell r="L226">
            <v>0</v>
          </cell>
          <cell r="S226">
            <v>0</v>
          </cell>
          <cell r="Y226">
            <v>0</v>
          </cell>
        </row>
        <row r="227">
          <cell r="L227">
            <v>29989300</v>
          </cell>
          <cell r="S227">
            <v>0</v>
          </cell>
          <cell r="Y227">
            <v>275250074.12</v>
          </cell>
        </row>
        <row r="228">
          <cell r="L228">
            <v>5999828.9000000004</v>
          </cell>
          <cell r="S228">
            <v>0</v>
          </cell>
          <cell r="Y228">
            <v>0</v>
          </cell>
        </row>
        <row r="229">
          <cell r="L229">
            <v>78499347.74000001</v>
          </cell>
          <cell r="S229">
            <v>151235.01999999999</v>
          </cell>
          <cell r="Y229">
            <v>3645022.96</v>
          </cell>
        </row>
        <row r="230">
          <cell r="L230">
            <v>76537584</v>
          </cell>
          <cell r="S230">
            <v>603115</v>
          </cell>
          <cell r="Y230">
            <v>1361618.22</v>
          </cell>
        </row>
        <row r="231">
          <cell r="L231">
            <v>0</v>
          </cell>
          <cell r="S231">
            <v>276139.32999999996</v>
          </cell>
          <cell r="Y231">
            <v>-113225000.62</v>
          </cell>
        </row>
        <row r="232">
          <cell r="L232">
            <v>0</v>
          </cell>
          <cell r="S232">
            <v>0</v>
          </cell>
          <cell r="Y232">
            <v>0</v>
          </cell>
        </row>
        <row r="233">
          <cell r="L233">
            <v>0</v>
          </cell>
          <cell r="S233">
            <v>0</v>
          </cell>
          <cell r="Y233">
            <v>0</v>
          </cell>
        </row>
        <row r="234">
          <cell r="L234">
            <v>0</v>
          </cell>
          <cell r="S234">
            <v>48797.74</v>
          </cell>
          <cell r="Y234">
            <v>225408968.98999998</v>
          </cell>
        </row>
        <row r="235">
          <cell r="L235">
            <v>0</v>
          </cell>
          <cell r="S235">
            <v>0</v>
          </cell>
          <cell r="Y235">
            <v>920551908.37</v>
          </cell>
        </row>
        <row r="236">
          <cell r="L236">
            <v>0</v>
          </cell>
          <cell r="S236">
            <v>0</v>
          </cell>
          <cell r="Y236">
            <v>0</v>
          </cell>
        </row>
        <row r="237">
          <cell r="L237">
            <v>0</v>
          </cell>
          <cell r="S237">
            <v>34066668.909999996</v>
          </cell>
          <cell r="Y237">
            <v>0</v>
          </cell>
        </row>
        <row r="238">
          <cell r="L238">
            <v>152302001.98000002</v>
          </cell>
          <cell r="S238">
            <v>0</v>
          </cell>
          <cell r="Y238">
            <v>0</v>
          </cell>
        </row>
        <row r="239">
          <cell r="L239">
            <v>7035630.8899999997</v>
          </cell>
          <cell r="S239">
            <v>0</v>
          </cell>
          <cell r="Y239">
            <v>0</v>
          </cell>
        </row>
        <row r="240">
          <cell r="L240">
            <v>153771425.58000001</v>
          </cell>
          <cell r="S240">
            <v>3564184.18</v>
          </cell>
          <cell r="Y240">
            <v>1060405805.58</v>
          </cell>
        </row>
        <row r="241">
          <cell r="L241">
            <v>0</v>
          </cell>
          <cell r="S241">
            <v>0</v>
          </cell>
          <cell r="Y241">
            <v>0</v>
          </cell>
        </row>
        <row r="242">
          <cell r="L242">
            <v>13405415.34</v>
          </cell>
          <cell r="S242">
            <v>0</v>
          </cell>
          <cell r="Y242">
            <v>0</v>
          </cell>
        </row>
        <row r="243">
          <cell r="L243">
            <v>28733787.93</v>
          </cell>
          <cell r="S243">
            <v>0</v>
          </cell>
          <cell r="Y243">
            <v>0</v>
          </cell>
        </row>
        <row r="244">
          <cell r="L244">
            <v>2923956.48</v>
          </cell>
          <cell r="S244">
            <v>734145.86</v>
          </cell>
          <cell r="Y244">
            <v>1022124.63</v>
          </cell>
        </row>
        <row r="245">
          <cell r="L245">
            <v>8564534.7400000002</v>
          </cell>
          <cell r="S245">
            <v>12152720.940000001</v>
          </cell>
          <cell r="Y245">
            <v>14292870.289999999</v>
          </cell>
        </row>
        <row r="246">
          <cell r="L246">
            <v>0</v>
          </cell>
          <cell r="S246">
            <v>0</v>
          </cell>
          <cell r="Y246">
            <v>0</v>
          </cell>
        </row>
        <row r="247">
          <cell r="L247">
            <v>0</v>
          </cell>
          <cell r="S247">
            <v>0</v>
          </cell>
          <cell r="Y247">
            <v>0</v>
          </cell>
        </row>
        <row r="248">
          <cell r="L248">
            <v>0</v>
          </cell>
          <cell r="S248">
            <v>0</v>
          </cell>
          <cell r="Y248">
            <v>0</v>
          </cell>
        </row>
        <row r="249">
          <cell r="L249">
            <v>0</v>
          </cell>
          <cell r="S249">
            <v>0</v>
          </cell>
          <cell r="Y249">
            <v>2373570.48</v>
          </cell>
        </row>
        <row r="250">
          <cell r="L250">
            <v>0</v>
          </cell>
          <cell r="S250">
            <v>0</v>
          </cell>
          <cell r="Y250">
            <v>0</v>
          </cell>
        </row>
        <row r="251">
          <cell r="L251">
            <v>0</v>
          </cell>
          <cell r="S251">
            <v>0</v>
          </cell>
          <cell r="Y251">
            <v>0</v>
          </cell>
        </row>
        <row r="252">
          <cell r="L252">
            <v>0</v>
          </cell>
          <cell r="S252">
            <v>0</v>
          </cell>
          <cell r="Y252">
            <v>0</v>
          </cell>
        </row>
        <row r="253">
          <cell r="L253">
            <v>0</v>
          </cell>
          <cell r="S253">
            <v>0</v>
          </cell>
          <cell r="Y253">
            <v>0</v>
          </cell>
        </row>
        <row r="254">
          <cell r="L254">
            <v>0</v>
          </cell>
        </row>
        <row r="255">
          <cell r="L255">
            <v>0</v>
          </cell>
          <cell r="S255">
            <v>0</v>
          </cell>
          <cell r="Y255">
            <v>0</v>
          </cell>
        </row>
        <row r="256">
          <cell r="L256">
            <v>262079774.88000003</v>
          </cell>
          <cell r="S256">
            <v>565164.27</v>
          </cell>
          <cell r="Y256">
            <v>51089902.710000001</v>
          </cell>
        </row>
        <row r="257">
          <cell r="L257">
            <v>79878373.549999997</v>
          </cell>
          <cell r="S257">
            <v>92772.11</v>
          </cell>
          <cell r="Y257">
            <v>4039736.7600000002</v>
          </cell>
        </row>
        <row r="258">
          <cell r="L258">
            <v>0</v>
          </cell>
          <cell r="S258">
            <v>17631069.439999998</v>
          </cell>
          <cell r="Y258">
            <v>85487441.75999999</v>
          </cell>
        </row>
        <row r="259">
          <cell r="L259">
            <v>403801973.25</v>
          </cell>
          <cell r="S259">
            <v>0</v>
          </cell>
          <cell r="Y259">
            <v>0</v>
          </cell>
        </row>
        <row r="260">
          <cell r="L260">
            <v>0</v>
          </cell>
          <cell r="S260">
            <v>0</v>
          </cell>
          <cell r="Y260">
            <v>0</v>
          </cell>
        </row>
        <row r="261">
          <cell r="L261">
            <v>468410157.93000001</v>
          </cell>
          <cell r="S261">
            <v>0</v>
          </cell>
          <cell r="Y261">
            <v>0</v>
          </cell>
        </row>
        <row r="262">
          <cell r="L262">
            <v>0</v>
          </cell>
          <cell r="S262">
            <v>980981.79</v>
          </cell>
          <cell r="Y262">
            <v>0</v>
          </cell>
        </row>
        <row r="263">
          <cell r="L263">
            <v>0</v>
          </cell>
          <cell r="S263">
            <v>103160.37</v>
          </cell>
          <cell r="Y263">
            <v>149076.46</v>
          </cell>
        </row>
        <row r="264">
          <cell r="L264">
            <v>4647803.25</v>
          </cell>
          <cell r="S264">
            <v>0</v>
          </cell>
          <cell r="Y264">
            <v>0</v>
          </cell>
        </row>
        <row r="265">
          <cell r="L265">
            <v>1692190.54</v>
          </cell>
          <cell r="S265">
            <v>0</v>
          </cell>
          <cell r="Y265">
            <v>0</v>
          </cell>
        </row>
        <row r="266">
          <cell r="L266">
            <v>711810</v>
          </cell>
          <cell r="S266">
            <v>0</v>
          </cell>
          <cell r="Y266">
            <v>0</v>
          </cell>
        </row>
        <row r="267">
          <cell r="L267">
            <v>62829.71</v>
          </cell>
          <cell r="S267">
            <v>0</v>
          </cell>
          <cell r="Y267">
            <v>0</v>
          </cell>
        </row>
        <row r="268">
          <cell r="L268">
            <v>0</v>
          </cell>
          <cell r="S268">
            <v>293177.40999999997</v>
          </cell>
          <cell r="Y268">
            <v>0</v>
          </cell>
        </row>
        <row r="269">
          <cell r="L269">
            <v>141740</v>
          </cell>
          <cell r="S269">
            <v>147742.65000000002</v>
          </cell>
          <cell r="Y269">
            <v>7773113.0700000003</v>
          </cell>
        </row>
        <row r="270">
          <cell r="L270">
            <v>17670806.59</v>
          </cell>
          <cell r="S270">
            <v>9367.27</v>
          </cell>
          <cell r="Y270">
            <v>484761.88</v>
          </cell>
        </row>
        <row r="271">
          <cell r="L271">
            <v>27223197.699999999</v>
          </cell>
          <cell r="S271">
            <v>1889.69</v>
          </cell>
          <cell r="Y271">
            <v>0</v>
          </cell>
        </row>
        <row r="272">
          <cell r="L272">
            <v>0</v>
          </cell>
          <cell r="S272">
            <v>900</v>
          </cell>
          <cell r="Y272">
            <v>9850</v>
          </cell>
        </row>
        <row r="273">
          <cell r="L273">
            <v>0</v>
          </cell>
          <cell r="S273">
            <v>102405.73</v>
          </cell>
          <cell r="Y273">
            <v>0</v>
          </cell>
        </row>
        <row r="274">
          <cell r="L274">
            <v>0</v>
          </cell>
          <cell r="S274">
            <v>0</v>
          </cell>
          <cell r="Y274">
            <v>0</v>
          </cell>
        </row>
        <row r="275">
          <cell r="L275">
            <v>0</v>
          </cell>
          <cell r="S275">
            <v>0</v>
          </cell>
          <cell r="Y275">
            <v>0</v>
          </cell>
        </row>
        <row r="276">
          <cell r="L276">
            <v>0</v>
          </cell>
          <cell r="S276">
            <v>0</v>
          </cell>
          <cell r="Y276">
            <v>0</v>
          </cell>
        </row>
        <row r="277">
          <cell r="L277">
            <v>0</v>
          </cell>
          <cell r="S277">
            <v>0</v>
          </cell>
          <cell r="Y277">
            <v>0</v>
          </cell>
        </row>
        <row r="278">
          <cell r="L278">
            <v>27988442.219999999</v>
          </cell>
          <cell r="S278">
            <v>37706.78</v>
          </cell>
          <cell r="Y278">
            <v>0</v>
          </cell>
        </row>
        <row r="279">
          <cell r="L279">
            <v>2005965</v>
          </cell>
          <cell r="S279">
            <v>0</v>
          </cell>
          <cell r="Y279">
            <v>0</v>
          </cell>
        </row>
        <row r="280">
          <cell r="L280">
            <v>0</v>
          </cell>
          <cell r="S280">
            <v>0</v>
          </cell>
          <cell r="Y280">
            <v>0</v>
          </cell>
        </row>
        <row r="281">
          <cell r="L281">
            <v>11500000</v>
          </cell>
          <cell r="S281">
            <v>4336</v>
          </cell>
          <cell r="Y281">
            <v>59337.89</v>
          </cell>
        </row>
        <row r="282">
          <cell r="L282">
            <v>0</v>
          </cell>
          <cell r="S282">
            <v>0</v>
          </cell>
          <cell r="Y282">
            <v>0</v>
          </cell>
        </row>
        <row r="283">
          <cell r="L283">
            <v>0</v>
          </cell>
          <cell r="S283">
            <v>0</v>
          </cell>
          <cell r="Y283">
            <v>167240</v>
          </cell>
        </row>
        <row r="285">
          <cell r="L285">
            <v>0</v>
          </cell>
          <cell r="S285">
            <v>-90</v>
          </cell>
          <cell r="Y285">
            <v>7980</v>
          </cell>
        </row>
        <row r="286">
          <cell r="L286">
            <v>0</v>
          </cell>
          <cell r="S286">
            <v>4707.92</v>
          </cell>
          <cell r="Y286">
            <v>1060733.5</v>
          </cell>
        </row>
        <row r="287">
          <cell r="L287">
            <v>0</v>
          </cell>
          <cell r="S287">
            <v>0</v>
          </cell>
          <cell r="Y287">
            <v>1033945.04</v>
          </cell>
        </row>
        <row r="288">
          <cell r="L288">
            <v>0</v>
          </cell>
          <cell r="S288">
            <v>681241.71</v>
          </cell>
          <cell r="Y288">
            <v>39695438.049999997</v>
          </cell>
        </row>
        <row r="289">
          <cell r="L289">
            <v>0</v>
          </cell>
          <cell r="S289">
            <v>0</v>
          </cell>
          <cell r="Y289">
            <v>0</v>
          </cell>
        </row>
        <row r="290">
          <cell r="L290">
            <v>0</v>
          </cell>
          <cell r="S290">
            <v>0</v>
          </cell>
          <cell r="Y290">
            <v>0</v>
          </cell>
        </row>
        <row r="291">
          <cell r="L291">
            <v>0</v>
          </cell>
          <cell r="S291">
            <v>0</v>
          </cell>
          <cell r="Y291">
            <v>0</v>
          </cell>
        </row>
        <row r="292">
          <cell r="L292">
            <v>0</v>
          </cell>
          <cell r="S292">
            <v>0</v>
          </cell>
          <cell r="Y292">
            <v>0</v>
          </cell>
        </row>
        <row r="293">
          <cell r="L293">
            <v>0</v>
          </cell>
          <cell r="S293">
            <v>0</v>
          </cell>
          <cell r="Y293">
            <v>0</v>
          </cell>
        </row>
        <row r="294">
          <cell r="L294">
            <v>34556566.200000003</v>
          </cell>
          <cell r="S294">
            <v>1567851.3699999999</v>
          </cell>
          <cell r="Y294">
            <v>34556566.200000003</v>
          </cell>
        </row>
        <row r="295">
          <cell r="L295">
            <v>23431506</v>
          </cell>
          <cell r="S295">
            <v>50966.06</v>
          </cell>
          <cell r="Y295">
            <v>23431506</v>
          </cell>
        </row>
        <row r="296">
          <cell r="L296">
            <v>43474827</v>
          </cell>
          <cell r="S296">
            <v>0</v>
          </cell>
          <cell r="Y296">
            <v>43474827</v>
          </cell>
        </row>
        <row r="297">
          <cell r="L297">
            <v>0</v>
          </cell>
          <cell r="S297">
            <v>0</v>
          </cell>
          <cell r="Y297">
            <v>0</v>
          </cell>
        </row>
        <row r="298">
          <cell r="L298">
            <v>0</v>
          </cell>
          <cell r="S298">
            <v>0</v>
          </cell>
          <cell r="Y298">
            <v>0</v>
          </cell>
        </row>
        <row r="299">
          <cell r="L299">
            <v>0</v>
          </cell>
          <cell r="S299">
            <v>0</v>
          </cell>
          <cell r="Y299">
            <v>0</v>
          </cell>
        </row>
        <row r="300">
          <cell r="L300">
            <v>5736068.7800000003</v>
          </cell>
          <cell r="S300">
            <v>5525546.4000000004</v>
          </cell>
          <cell r="Y300">
            <v>1354351.37</v>
          </cell>
        </row>
        <row r="301">
          <cell r="L301">
            <v>0</v>
          </cell>
          <cell r="S301">
            <v>0</v>
          </cell>
          <cell r="Y301">
            <v>0</v>
          </cell>
        </row>
        <row r="302">
          <cell r="L302">
            <v>205117839.66</v>
          </cell>
          <cell r="S302">
            <v>2020487.96</v>
          </cell>
          <cell r="Y302">
            <v>247648836.68000004</v>
          </cell>
        </row>
        <row r="303">
          <cell r="L303">
            <v>0</v>
          </cell>
          <cell r="S303">
            <v>0</v>
          </cell>
          <cell r="Y303">
            <v>0</v>
          </cell>
        </row>
        <row r="305">
          <cell r="L305" t="str">
            <v>-</v>
          </cell>
          <cell r="S305" t="str">
            <v>-</v>
          </cell>
          <cell r="Y305" t="str">
            <v>-</v>
          </cell>
        </row>
        <row r="306">
          <cell r="L306">
            <v>2942499141.4099998</v>
          </cell>
          <cell r="S306">
            <v>81657161.140000015</v>
          </cell>
          <cell r="Y306">
            <v>2942499141.4100003</v>
          </cell>
        </row>
        <row r="307">
          <cell r="L307" t="str">
            <v>-</v>
          </cell>
          <cell r="S307" t="str">
            <v>-</v>
          </cell>
          <cell r="Y307" t="str">
            <v>-</v>
          </cell>
        </row>
        <row r="308">
          <cell r="L308">
            <v>2942499141.4100003</v>
          </cell>
          <cell r="S308">
            <v>81657161.140000001</v>
          </cell>
          <cell r="Y308">
            <v>2942499141.4100003</v>
          </cell>
        </row>
        <row r="309">
          <cell r="L309" t="str">
            <v>-</v>
          </cell>
          <cell r="S309" t="str">
            <v>-</v>
          </cell>
          <cell r="Y309" t="str">
            <v>-</v>
          </cell>
        </row>
        <row r="310">
          <cell r="L310">
            <v>0</v>
          </cell>
          <cell r="S310">
            <v>0</v>
          </cell>
          <cell r="Y310">
            <v>0</v>
          </cell>
        </row>
        <row r="311">
          <cell r="L311" t="str">
            <v>-</v>
          </cell>
          <cell r="S311" t="str">
            <v>-</v>
          </cell>
          <cell r="Y311" t="str">
            <v>-</v>
          </cell>
        </row>
        <row r="312">
          <cell r="L312">
            <v>1580907032.55</v>
          </cell>
          <cell r="S312">
            <v>32260014.779999997</v>
          </cell>
          <cell r="Y312">
            <v>158454723.09</v>
          </cell>
        </row>
        <row r="313">
          <cell r="L313" t="str">
            <v>-</v>
          </cell>
          <cell r="S313" t="str">
            <v>-</v>
          </cell>
          <cell r="Y313" t="str">
            <v>-</v>
          </cell>
        </row>
        <row r="318">
          <cell r="A318" t="str">
            <v>||\027\033\068</v>
          </cell>
        </row>
        <row r="320">
          <cell r="O320" t="str">
            <v>||\027\033\068</v>
          </cell>
        </row>
        <row r="326">
          <cell r="F326">
            <v>0</v>
          </cell>
        </row>
        <row r="327">
          <cell r="F327">
            <v>0</v>
          </cell>
        </row>
        <row r="328">
          <cell r="F328">
            <v>0</v>
          </cell>
          <cell r="U328">
            <v>86162.44</v>
          </cell>
        </row>
        <row r="329">
          <cell r="F329">
            <v>0</v>
          </cell>
          <cell r="S329">
            <v>16039</v>
          </cell>
          <cell r="U329">
            <v>1264365.1600000001</v>
          </cell>
        </row>
        <row r="330">
          <cell r="F330">
            <v>0</v>
          </cell>
          <cell r="S330">
            <v>20606965.59</v>
          </cell>
        </row>
        <row r="331">
          <cell r="F331">
            <v>17899376.960000001</v>
          </cell>
        </row>
        <row r="332">
          <cell r="F332">
            <v>0</v>
          </cell>
        </row>
        <row r="333">
          <cell r="F333">
            <v>2028780.7</v>
          </cell>
          <cell r="Q333">
            <v>530671.75</v>
          </cell>
          <cell r="U333">
            <v>6108409.0300000003</v>
          </cell>
        </row>
        <row r="334">
          <cell r="F334">
            <v>1401306.62</v>
          </cell>
          <cell r="Q334">
            <v>1305627.23</v>
          </cell>
          <cell r="U334">
            <v>212610.86</v>
          </cell>
        </row>
        <row r="335">
          <cell r="F335">
            <v>0</v>
          </cell>
          <cell r="S335">
            <v>12448.39</v>
          </cell>
          <cell r="U335">
            <v>259984.08</v>
          </cell>
        </row>
        <row r="336">
          <cell r="F336">
            <v>0</v>
          </cell>
        </row>
        <row r="337">
          <cell r="F337">
            <v>0</v>
          </cell>
        </row>
        <row r="338">
          <cell r="F338">
            <v>0</v>
          </cell>
          <cell r="S338">
            <v>240664.9</v>
          </cell>
          <cell r="U338">
            <v>796103.85999999987</v>
          </cell>
        </row>
        <row r="339">
          <cell r="F339">
            <v>0</v>
          </cell>
          <cell r="Q339">
            <v>31000000</v>
          </cell>
          <cell r="U339">
            <v>82952873</v>
          </cell>
        </row>
        <row r="340">
          <cell r="F340">
            <v>1970946.72</v>
          </cell>
        </row>
        <row r="341">
          <cell r="F341">
            <v>0</v>
          </cell>
          <cell r="Q341">
            <v>2500000</v>
          </cell>
          <cell r="U341">
            <v>78542994</v>
          </cell>
        </row>
        <row r="342">
          <cell r="F342">
            <v>151757.71000000002</v>
          </cell>
        </row>
        <row r="343">
          <cell r="F343">
            <v>0</v>
          </cell>
        </row>
        <row r="344">
          <cell r="F344">
            <v>2500</v>
          </cell>
          <cell r="S344">
            <v>74061550</v>
          </cell>
        </row>
        <row r="345">
          <cell r="F345">
            <v>5145</v>
          </cell>
        </row>
        <row r="346">
          <cell r="F346">
            <v>1207869.72</v>
          </cell>
        </row>
        <row r="347">
          <cell r="F347">
            <v>0</v>
          </cell>
        </row>
        <row r="348">
          <cell r="F348">
            <v>0</v>
          </cell>
          <cell r="S348">
            <v>544.37</v>
          </cell>
          <cell r="U348">
            <v>343410.21</v>
          </cell>
        </row>
        <row r="349">
          <cell r="F349">
            <v>35017.230000000003</v>
          </cell>
          <cell r="Q349">
            <v>1397920.19</v>
          </cell>
          <cell r="S349">
            <v>9674129.5500000007</v>
          </cell>
          <cell r="U349">
            <v>15834994.460000001</v>
          </cell>
        </row>
        <row r="350">
          <cell r="F350">
            <v>0</v>
          </cell>
          <cell r="S350">
            <v>171205.06</v>
          </cell>
          <cell r="U350">
            <v>21684080.039999999</v>
          </cell>
        </row>
        <row r="351">
          <cell r="F351">
            <v>11198546.82</v>
          </cell>
        </row>
        <row r="352">
          <cell r="F352">
            <v>0</v>
          </cell>
          <cell r="Q352">
            <v>75000</v>
          </cell>
        </row>
        <row r="353">
          <cell r="F353">
            <v>552770.66</v>
          </cell>
          <cell r="S353">
            <v>1378370.61</v>
          </cell>
          <cell r="U353">
            <v>16863453.329999998</v>
          </cell>
        </row>
        <row r="354">
          <cell r="F354">
            <v>0</v>
          </cell>
        </row>
        <row r="355">
          <cell r="F355">
            <v>400000</v>
          </cell>
          <cell r="S355">
            <v>24632394.239999998</v>
          </cell>
        </row>
        <row r="356">
          <cell r="F356">
            <v>5111110.4399999995</v>
          </cell>
          <cell r="Q356">
            <v>1958540.1</v>
          </cell>
        </row>
        <row r="357">
          <cell r="F357">
            <v>0</v>
          </cell>
        </row>
        <row r="358">
          <cell r="F358">
            <v>7229415.0099999998</v>
          </cell>
        </row>
        <row r="359">
          <cell r="F359">
            <v>407251.85</v>
          </cell>
        </row>
        <row r="360">
          <cell r="F360">
            <v>0</v>
          </cell>
          <cell r="Q360">
            <v>195664.03</v>
          </cell>
          <cell r="U360">
            <v>2003040.44</v>
          </cell>
        </row>
        <row r="361">
          <cell r="F361">
            <v>7132467.4700000007</v>
          </cell>
          <cell r="Q361">
            <v>24973.42</v>
          </cell>
          <cell r="U361">
            <v>9615763.3800000008</v>
          </cell>
        </row>
        <row r="362">
          <cell r="F362">
            <v>0</v>
          </cell>
          <cell r="Q362">
            <v>3219015.49</v>
          </cell>
          <cell r="S362">
            <v>9404781.0399999991</v>
          </cell>
          <cell r="U362">
            <v>11011197.130000001</v>
          </cell>
        </row>
        <row r="363">
          <cell r="F363">
            <v>5336836.7699999996</v>
          </cell>
        </row>
        <row r="364">
          <cell r="F364">
            <v>0</v>
          </cell>
          <cell r="Q364">
            <v>2185691.7599999998</v>
          </cell>
          <cell r="S364">
            <v>141500</v>
          </cell>
          <cell r="U364">
            <v>1415654</v>
          </cell>
        </row>
        <row r="365">
          <cell r="F365">
            <v>0</v>
          </cell>
        </row>
        <row r="366">
          <cell r="F366">
            <v>0</v>
          </cell>
          <cell r="U366">
            <v>5042124</v>
          </cell>
        </row>
        <row r="367">
          <cell r="F367">
            <v>90736.88</v>
          </cell>
          <cell r="S367">
            <v>253187.86</v>
          </cell>
          <cell r="U367">
            <v>8000</v>
          </cell>
        </row>
        <row r="368">
          <cell r="F368">
            <v>0</v>
          </cell>
          <cell r="U368">
            <v>7543439.2999999998</v>
          </cell>
        </row>
        <row r="369">
          <cell r="F369">
            <v>0</v>
          </cell>
        </row>
        <row r="370">
          <cell r="F370">
            <v>0</v>
          </cell>
        </row>
        <row r="371">
          <cell r="F371">
            <v>0</v>
          </cell>
        </row>
        <row r="372">
          <cell r="F372">
            <v>0</v>
          </cell>
          <cell r="Q372">
            <v>510000</v>
          </cell>
          <cell r="S372">
            <v>71538</v>
          </cell>
        </row>
        <row r="373">
          <cell r="F373">
            <v>1191469.6700000002</v>
          </cell>
          <cell r="Q373">
            <v>201954.86</v>
          </cell>
          <cell r="S373">
            <v>5605.65</v>
          </cell>
          <cell r="U373">
            <v>509739</v>
          </cell>
        </row>
        <row r="374">
          <cell r="F374">
            <v>0</v>
          </cell>
          <cell r="Q374">
            <v>5830.59</v>
          </cell>
          <cell r="S374">
            <v>935.32</v>
          </cell>
          <cell r="U374">
            <v>178071.21</v>
          </cell>
        </row>
        <row r="375">
          <cell r="F375">
            <v>0</v>
          </cell>
          <cell r="S375">
            <v>301.39999999999998</v>
          </cell>
        </row>
        <row r="376">
          <cell r="F376">
            <v>0</v>
          </cell>
          <cell r="Q376">
            <v>32646.49</v>
          </cell>
          <cell r="S376">
            <v>40</v>
          </cell>
          <cell r="U376">
            <v>12000</v>
          </cell>
        </row>
        <row r="377">
          <cell r="F377">
            <v>0</v>
          </cell>
        </row>
        <row r="378">
          <cell r="F378">
            <v>0</v>
          </cell>
        </row>
        <row r="379">
          <cell r="F379">
            <v>0</v>
          </cell>
        </row>
        <row r="380">
          <cell r="F380">
            <v>6796131.7699999996</v>
          </cell>
        </row>
        <row r="381">
          <cell r="F381">
            <v>0</v>
          </cell>
        </row>
        <row r="382">
          <cell r="F382">
            <v>0</v>
          </cell>
          <cell r="Q382">
            <v>16478.580000000002</v>
          </cell>
        </row>
        <row r="383">
          <cell r="F383">
            <v>0</v>
          </cell>
          <cell r="Q383">
            <v>169481.3</v>
          </cell>
        </row>
        <row r="384">
          <cell r="F384">
            <v>0</v>
          </cell>
          <cell r="U384">
            <v>4298</v>
          </cell>
        </row>
        <row r="385">
          <cell r="F385">
            <v>0</v>
          </cell>
        </row>
        <row r="386">
          <cell r="Q386">
            <v>110854.95</v>
          </cell>
          <cell r="U386">
            <v>326499</v>
          </cell>
        </row>
        <row r="387">
          <cell r="F387">
            <v>0</v>
          </cell>
          <cell r="U387">
            <v>17500</v>
          </cell>
        </row>
        <row r="388">
          <cell r="F388">
            <v>0</v>
          </cell>
        </row>
        <row r="389">
          <cell r="F389">
            <v>0</v>
          </cell>
          <cell r="S389">
            <v>22.92</v>
          </cell>
        </row>
        <row r="390">
          <cell r="F390">
            <v>0</v>
          </cell>
        </row>
        <row r="391">
          <cell r="F391">
            <v>0</v>
          </cell>
        </row>
        <row r="392">
          <cell r="F392">
            <v>0</v>
          </cell>
          <cell r="Q392">
            <v>19826.55</v>
          </cell>
          <cell r="S392">
            <v>7489549</v>
          </cell>
          <cell r="U392">
            <v>493689</v>
          </cell>
        </row>
        <row r="393">
          <cell r="F393">
            <v>0</v>
          </cell>
        </row>
        <row r="394">
          <cell r="F394">
            <v>0</v>
          </cell>
        </row>
        <row r="395">
          <cell r="F395">
            <v>0</v>
          </cell>
        </row>
        <row r="396">
          <cell r="F396">
            <v>1567851.3699999999</v>
          </cell>
        </row>
        <row r="397">
          <cell r="F397">
            <v>50966.06</v>
          </cell>
          <cell r="Q397">
            <v>0</v>
          </cell>
          <cell r="S397">
            <v>0</v>
          </cell>
          <cell r="U397">
            <v>0</v>
          </cell>
        </row>
        <row r="398">
          <cell r="F398">
            <v>0</v>
          </cell>
          <cell r="Q398">
            <v>18620913</v>
          </cell>
          <cell r="S398">
            <v>764286</v>
          </cell>
          <cell r="U398">
            <v>9687850</v>
          </cell>
        </row>
        <row r="399">
          <cell r="F399">
            <v>0</v>
          </cell>
          <cell r="Q399">
            <v>0</v>
          </cell>
          <cell r="S399">
            <v>10062</v>
          </cell>
          <cell r="U399">
            <v>17466800</v>
          </cell>
        </row>
        <row r="400">
          <cell r="F400">
            <v>0</v>
          </cell>
          <cell r="Q400">
            <v>658954</v>
          </cell>
          <cell r="S400">
            <v>144537</v>
          </cell>
          <cell r="U400">
            <v>15131600</v>
          </cell>
        </row>
        <row r="401">
          <cell r="F401">
            <v>0</v>
          </cell>
          <cell r="Q401">
            <v>0</v>
          </cell>
          <cell r="S401">
            <v>0</v>
          </cell>
          <cell r="U401">
            <v>0</v>
          </cell>
        </row>
        <row r="402">
          <cell r="F402">
            <v>5552534.0899999999</v>
          </cell>
          <cell r="Q402">
            <v>19672</v>
          </cell>
          <cell r="S402">
            <v>0</v>
          </cell>
          <cell r="U402">
            <v>298500</v>
          </cell>
        </row>
        <row r="403">
          <cell r="F403">
            <v>0</v>
          </cell>
        </row>
        <row r="404">
          <cell r="F404">
            <v>4336371.62</v>
          </cell>
        </row>
        <row r="405">
          <cell r="F405">
            <v>0</v>
          </cell>
        </row>
        <row r="406">
          <cell r="Q406">
            <v>2445565.4300000002</v>
          </cell>
          <cell r="S406">
            <v>10306104.33</v>
          </cell>
          <cell r="U406">
            <v>17318973.57</v>
          </cell>
        </row>
        <row r="407">
          <cell r="F407" t="str">
            <v>-</v>
          </cell>
        </row>
        <row r="408">
          <cell r="F408">
            <v>81657161.140000015</v>
          </cell>
        </row>
        <row r="409">
          <cell r="F409" t="str">
            <v>-</v>
          </cell>
          <cell r="Q409" t="str">
            <v>-</v>
          </cell>
          <cell r="S409" t="str">
            <v>-</v>
          </cell>
          <cell r="U409" t="str">
            <v>-</v>
          </cell>
        </row>
        <row r="410">
          <cell r="F410">
            <v>81657161.140000001</v>
          </cell>
          <cell r="Q410">
            <v>67205281.720000014</v>
          </cell>
          <cell r="S410">
            <v>159386762.23000002</v>
          </cell>
          <cell r="U410">
            <v>323034178.50000006</v>
          </cell>
        </row>
        <row r="411">
          <cell r="F411" t="str">
            <v>-</v>
          </cell>
          <cell r="Q411" t="str">
            <v>-</v>
          </cell>
          <cell r="S411" t="str">
            <v>-</v>
          </cell>
          <cell r="U411" t="str">
            <v>-</v>
          </cell>
        </row>
        <row r="412">
          <cell r="F412">
            <v>0</v>
          </cell>
          <cell r="Q412">
            <v>67205281.719999999</v>
          </cell>
          <cell r="S412">
            <v>159386762.22999999</v>
          </cell>
          <cell r="U412">
            <v>323034178.5</v>
          </cell>
        </row>
        <row r="413">
          <cell r="F413" t="str">
            <v>-</v>
          </cell>
          <cell r="Q413" t="str">
            <v>-</v>
          </cell>
          <cell r="S413" t="str">
            <v>-</v>
          </cell>
          <cell r="U413" t="str">
            <v>-</v>
          </cell>
        </row>
        <row r="414">
          <cell r="F414">
            <v>40741635.400000006</v>
          </cell>
          <cell r="Q414">
            <v>0</v>
          </cell>
          <cell r="S414">
            <v>0</v>
          </cell>
          <cell r="U414">
            <v>0</v>
          </cell>
        </row>
        <row r="415">
          <cell r="F415" t="str">
            <v>-</v>
          </cell>
          <cell r="Q415" t="str">
            <v>-</v>
          </cell>
          <cell r="S415" t="str">
            <v>-</v>
          </cell>
          <cell r="U415" t="str">
            <v>-</v>
          </cell>
        </row>
        <row r="416">
          <cell r="Q416">
            <v>9056804.9900000002</v>
          </cell>
          <cell r="S416">
            <v>45656112.729999997</v>
          </cell>
          <cell r="U416">
            <v>91365156.289999992</v>
          </cell>
        </row>
        <row r="417">
          <cell r="Q417" t="str">
            <v>-</v>
          </cell>
          <cell r="S417" t="str">
            <v>-</v>
          </cell>
          <cell r="U417" t="str">
            <v>-</v>
          </cell>
        </row>
        <row r="421">
          <cell r="B421" t="str">
            <v xml:space="preserve">STATEMENT OF AFFAIRS  AS ON 31ST DECEMBER, 1998 </v>
          </cell>
        </row>
        <row r="422">
          <cell r="A422" t="str">
            <v>||\027\033\068</v>
          </cell>
          <cell r="P422" t="e">
            <v>#REF!</v>
          </cell>
        </row>
        <row r="423">
          <cell r="B423" t="str">
            <v>-</v>
          </cell>
          <cell r="D423" t="str">
            <v>-</v>
          </cell>
          <cell r="E423" t="str">
            <v>-</v>
          </cell>
          <cell r="F423" t="str">
            <v>-</v>
          </cell>
          <cell r="G423" t="str">
            <v>-</v>
          </cell>
          <cell r="H423" t="str">
            <v>-</v>
          </cell>
          <cell r="I423" t="str">
            <v>-</v>
          </cell>
          <cell r="P423" t="str">
            <v xml:space="preserve">STATEMENT OF AFFAIRS  AS ON 31ST DECEMBER, 1998 </v>
          </cell>
        </row>
        <row r="424">
          <cell r="D424" t="str">
            <v>MAIN BR NYK</v>
          </cell>
          <cell r="E424" t="str">
            <v>MAIN BR NYK</v>
          </cell>
          <cell r="F424" t="str">
            <v>E.P.Z.KARACHI</v>
          </cell>
          <cell r="G424" t="str">
            <v>E.P.Z.KARACHI</v>
          </cell>
          <cell r="H424" t="str">
            <v>DOHA</v>
          </cell>
          <cell r="I424" t="str">
            <v>DOHA</v>
          </cell>
        </row>
        <row r="425">
          <cell r="D425" t="str">
            <v>US DLRS</v>
          </cell>
          <cell r="E425" t="str">
            <v>PAK.RS.</v>
          </cell>
          <cell r="F425" t="str">
            <v>US DLRS</v>
          </cell>
          <cell r="G425" t="str">
            <v>PAK.RS.</v>
          </cell>
          <cell r="H425" t="str">
            <v>Q.RLYS</v>
          </cell>
          <cell r="I425" t="str">
            <v>PAK.RS.</v>
          </cell>
          <cell r="P425" t="str">
            <v>-</v>
          </cell>
          <cell r="Q425" t="str">
            <v>-</v>
          </cell>
        </row>
        <row r="426">
          <cell r="B426" t="str">
            <v>HEAD OF ACCOUNTS</v>
          </cell>
          <cell r="E426">
            <v>50.54</v>
          </cell>
          <cell r="G426">
            <v>50.54</v>
          </cell>
          <cell r="I426">
            <v>13.89</v>
          </cell>
          <cell r="Q426" t="str">
            <v>TOTAL ALL OVERSEAS</v>
          </cell>
        </row>
        <row r="427">
          <cell r="B427" t="str">
            <v>-</v>
          </cell>
          <cell r="D427" t="str">
            <v>-</v>
          </cell>
          <cell r="E427" t="str">
            <v>-</v>
          </cell>
          <cell r="F427" t="str">
            <v>-</v>
          </cell>
          <cell r="G427" t="str">
            <v>-</v>
          </cell>
          <cell r="H427" t="str">
            <v>-</v>
          </cell>
          <cell r="I427" t="str">
            <v>-</v>
          </cell>
          <cell r="Q427" t="str">
            <v>PAK.RS.</v>
          </cell>
        </row>
        <row r="428">
          <cell r="B428" t="str">
            <v>LIABILITIES</v>
          </cell>
          <cell r="P428" t="str">
            <v>HEAD OF ACCOUNTS</v>
          </cell>
          <cell r="Q428" t="str">
            <v>DECEMBER,1998</v>
          </cell>
        </row>
        <row r="429">
          <cell r="B429" t="str">
            <v>-----------</v>
          </cell>
          <cell r="P429" t="str">
            <v>-</v>
          </cell>
          <cell r="Q429" t="str">
            <v>-</v>
          </cell>
        </row>
        <row r="430">
          <cell r="B430" t="str">
            <v>CAPITAL</v>
          </cell>
          <cell r="E430">
            <v>0</v>
          </cell>
          <cell r="G430">
            <v>0</v>
          </cell>
          <cell r="H430">
            <v>10000000</v>
          </cell>
          <cell r="I430">
            <v>138900000</v>
          </cell>
          <cell r="P430" t="str">
            <v>A S S E T S</v>
          </cell>
        </row>
        <row r="431">
          <cell r="B431" t="str">
            <v>PROFIT (UNREMITTED)</v>
          </cell>
          <cell r="E431">
            <v>0</v>
          </cell>
          <cell r="G431">
            <v>0</v>
          </cell>
          <cell r="I431">
            <v>0</v>
          </cell>
          <cell r="P431" t="str">
            <v>-----------</v>
          </cell>
        </row>
        <row r="432">
          <cell r="B432" t="str">
            <v>RESERVE FOR CAPITAL REQUIREMENT</v>
          </cell>
          <cell r="E432">
            <v>0</v>
          </cell>
          <cell r="G432">
            <v>0</v>
          </cell>
          <cell r="H432">
            <v>8000000</v>
          </cell>
          <cell r="I432">
            <v>111120000</v>
          </cell>
          <cell r="P432" t="str">
            <v>FOREIGN CURRENCY ON HAND</v>
          </cell>
          <cell r="Q432" t="e">
            <v>#REF!</v>
          </cell>
        </row>
        <row r="433">
          <cell r="B433" t="str">
            <v>LEGAL RESERVE</v>
          </cell>
          <cell r="E433">
            <v>0</v>
          </cell>
          <cell r="G433">
            <v>0</v>
          </cell>
          <cell r="H433">
            <v>6196500</v>
          </cell>
          <cell r="I433">
            <v>86069385</v>
          </cell>
          <cell r="P433" t="str">
            <v>CASH ON HAND</v>
          </cell>
          <cell r="Q433" t="e">
            <v>#REF!</v>
          </cell>
        </row>
        <row r="434">
          <cell r="B434" t="str">
            <v>EXCHANGE FLUCTUATION RESERVE</v>
          </cell>
          <cell r="E434">
            <v>0</v>
          </cell>
          <cell r="F434">
            <v>-150056</v>
          </cell>
          <cell r="G434">
            <v>-7583830.2400000002</v>
          </cell>
          <cell r="I434">
            <v>0</v>
          </cell>
          <cell r="P434" t="e">
            <v>#REF!</v>
          </cell>
          <cell r="Q434" t="e">
            <v>#REF!</v>
          </cell>
        </row>
        <row r="435">
          <cell r="B435" t="str">
            <v>PROVISION FOR BAD DEBTS</v>
          </cell>
          <cell r="D435">
            <v>6095584.0599999996</v>
          </cell>
          <cell r="E435">
            <v>308070818.39239997</v>
          </cell>
          <cell r="F435">
            <v>6786000</v>
          </cell>
          <cell r="G435">
            <v>342964440</v>
          </cell>
          <cell r="H435">
            <v>14989292.26</v>
          </cell>
          <cell r="I435">
            <v>208201269.4914</v>
          </cell>
          <cell r="P435" t="e">
            <v>#REF!</v>
          </cell>
          <cell r="Q435" t="e">
            <v>#REF!</v>
          </cell>
        </row>
        <row r="436">
          <cell r="B436" t="str">
            <v>PROVISION L.G. CLAIM LOSSES</v>
          </cell>
          <cell r="E436">
            <v>0</v>
          </cell>
          <cell r="G436">
            <v>0</v>
          </cell>
          <cell r="I436">
            <v>0</v>
          </cell>
          <cell r="Q436" t="e">
            <v>#REF!</v>
          </cell>
        </row>
        <row r="437">
          <cell r="B437" t="str">
            <v>CAPITAL AND OTHER FUNDS - UK</v>
          </cell>
          <cell r="E437">
            <v>0</v>
          </cell>
          <cell r="G437">
            <v>0</v>
          </cell>
          <cell r="I437">
            <v>0</v>
          </cell>
          <cell r="P437" t="str">
            <v>BALANCE WITH CENTRAL BANK</v>
          </cell>
          <cell r="Q437" t="e">
            <v>#REF!</v>
          </cell>
        </row>
        <row r="438">
          <cell r="B438" t="str">
            <v>GENERAL PROVISION - UK</v>
          </cell>
          <cell r="E438">
            <v>0</v>
          </cell>
          <cell r="G438">
            <v>0</v>
          </cell>
          <cell r="I438">
            <v>0</v>
          </cell>
          <cell r="P438" t="str">
            <v>BALANCE WITH LOCAL/OTHER BANKS</v>
          </cell>
          <cell r="Q438" t="e">
            <v>#REF!</v>
          </cell>
        </row>
        <row r="439">
          <cell r="E439">
            <v>0</v>
          </cell>
          <cell r="G439">
            <v>0</v>
          </cell>
          <cell r="I439">
            <v>0</v>
          </cell>
          <cell r="P439" t="str">
            <v>BALANCE WITH FOREIGN BANKS</v>
          </cell>
          <cell r="Q439" t="e">
            <v>#REF!</v>
          </cell>
        </row>
        <row r="440">
          <cell r="E440">
            <v>0</v>
          </cell>
          <cell r="G440">
            <v>0</v>
          </cell>
          <cell r="I440">
            <v>0</v>
          </cell>
          <cell r="Q440" t="e">
            <v>#REF!</v>
          </cell>
        </row>
        <row r="441">
          <cell r="E441">
            <v>0</v>
          </cell>
          <cell r="G441">
            <v>0</v>
          </cell>
          <cell r="I441">
            <v>0</v>
          </cell>
          <cell r="P441" t="e">
            <v>#REF!</v>
          </cell>
          <cell r="Q441" t="e">
            <v>#REF!</v>
          </cell>
        </row>
        <row r="442">
          <cell r="B442" t="str">
            <v>D E P O S I T S</v>
          </cell>
          <cell r="E442">
            <v>0</v>
          </cell>
          <cell r="G442">
            <v>0</v>
          </cell>
          <cell r="I442">
            <v>0</v>
          </cell>
          <cell r="P442" t="e">
            <v>#REF!</v>
          </cell>
          <cell r="Q442" t="e">
            <v>#REF!</v>
          </cell>
        </row>
        <row r="443">
          <cell r="B443" t="str">
            <v>---------------</v>
          </cell>
          <cell r="E443">
            <v>0</v>
          </cell>
          <cell r="G443">
            <v>0</v>
          </cell>
          <cell r="I443">
            <v>0</v>
          </cell>
          <cell r="P443" t="e">
            <v>#REF!</v>
          </cell>
          <cell r="Q443" t="e">
            <v>#REF!</v>
          </cell>
        </row>
        <row r="444">
          <cell r="B444" t="str">
            <v>CURRENT DEPOSITS</v>
          </cell>
          <cell r="D444">
            <v>589061.12</v>
          </cell>
          <cell r="E444">
            <v>29771149.004799999</v>
          </cell>
          <cell r="F444">
            <v>258507.12</v>
          </cell>
          <cell r="G444">
            <v>13064949.844799999</v>
          </cell>
          <cell r="H444">
            <v>27426723.82</v>
          </cell>
          <cell r="I444">
            <v>380957193.85980004</v>
          </cell>
          <cell r="Q444" t="e">
            <v>#REF!</v>
          </cell>
        </row>
        <row r="445">
          <cell r="B445" t="str">
            <v>CALL DEPOSITS</v>
          </cell>
          <cell r="E445">
            <v>0</v>
          </cell>
          <cell r="G445">
            <v>0</v>
          </cell>
          <cell r="H445">
            <v>64844.52</v>
          </cell>
          <cell r="I445">
            <v>900690.38280000002</v>
          </cell>
          <cell r="P445" t="e">
            <v>#REF!</v>
          </cell>
          <cell r="Q445" t="e">
            <v>#REF!</v>
          </cell>
        </row>
        <row r="446">
          <cell r="B446" t="str">
            <v>FOREIGN CURRENCY CURRENT DEPOSITS</v>
          </cell>
          <cell r="E446">
            <v>0</v>
          </cell>
          <cell r="F446">
            <v>12324.88</v>
          </cell>
          <cell r="G446">
            <v>622899.43519999995</v>
          </cell>
          <cell r="H446">
            <v>892474.36</v>
          </cell>
          <cell r="I446">
            <v>12396468.860400001</v>
          </cell>
          <cell r="P446" t="str">
            <v>CALL LOAN TO BANKERS</v>
          </cell>
          <cell r="Q446" t="e">
            <v>#REF!</v>
          </cell>
        </row>
        <row r="447">
          <cell r="B447" t="str">
            <v xml:space="preserve"> </v>
          </cell>
          <cell r="E447">
            <v>0</v>
          </cell>
          <cell r="G447">
            <v>0</v>
          </cell>
          <cell r="I447">
            <v>0</v>
          </cell>
          <cell r="Q447" t="e">
            <v>#REF!</v>
          </cell>
        </row>
        <row r="448">
          <cell r="B448" t="str">
            <v>MARGIN ON L.G.</v>
          </cell>
          <cell r="E448">
            <v>0</v>
          </cell>
          <cell r="F448">
            <v>10062</v>
          </cell>
          <cell r="G448">
            <v>508533.48</v>
          </cell>
          <cell r="H448">
            <v>414196</v>
          </cell>
          <cell r="I448">
            <v>5753182.4400000004</v>
          </cell>
          <cell r="P448" t="str">
            <v>INVESTMENT-GOVT. SECURITIES</v>
          </cell>
          <cell r="Q448" t="e">
            <v>#REF!</v>
          </cell>
        </row>
        <row r="449">
          <cell r="B449" t="str">
            <v>MARGIN ON L.C.</v>
          </cell>
          <cell r="E449">
            <v>0</v>
          </cell>
          <cell r="F449">
            <v>15523</v>
          </cell>
          <cell r="G449">
            <v>784532.42</v>
          </cell>
          <cell r="H449">
            <v>682700</v>
          </cell>
          <cell r="I449">
            <v>9482703</v>
          </cell>
          <cell r="Q449" t="e">
            <v>#REF!</v>
          </cell>
        </row>
        <row r="450">
          <cell r="B450" t="str">
            <v>SUNDRY CREDITOR</v>
          </cell>
          <cell r="D450">
            <v>2721048.53</v>
          </cell>
          <cell r="E450">
            <v>137521792.70619997</v>
          </cell>
          <cell r="F450">
            <v>553.75</v>
          </cell>
          <cell r="G450">
            <v>27986.524999999998</v>
          </cell>
          <cell r="H450">
            <v>1403162</v>
          </cell>
          <cell r="I450">
            <v>19489920.18</v>
          </cell>
          <cell r="P450" t="str">
            <v>A D V A N C E S</v>
          </cell>
          <cell r="Q450" t="e">
            <v>#REF!</v>
          </cell>
        </row>
        <row r="451">
          <cell r="B451" t="str">
            <v>OTHERS</v>
          </cell>
          <cell r="E451">
            <v>0</v>
          </cell>
          <cell r="F451">
            <v>6782.83</v>
          </cell>
          <cell r="G451">
            <v>342804.22820000001</v>
          </cell>
          <cell r="I451">
            <v>0</v>
          </cell>
          <cell r="P451" t="str">
            <v>---------------</v>
          </cell>
          <cell r="Q451" t="e">
            <v>#REF!</v>
          </cell>
        </row>
        <row r="452">
          <cell r="E452">
            <v>0</v>
          </cell>
          <cell r="G452">
            <v>0</v>
          </cell>
          <cell r="I452">
            <v>0</v>
          </cell>
          <cell r="P452" t="str">
            <v>STAFF LOANS</v>
          </cell>
          <cell r="Q452" t="e">
            <v>#REF!</v>
          </cell>
        </row>
        <row r="453">
          <cell r="B453" t="str">
            <v>DEPOSITS FROM BANKS-CURRENT</v>
          </cell>
          <cell r="D453">
            <v>596261.56999999995</v>
          </cell>
          <cell r="E453">
            <v>30135059.747799996</v>
          </cell>
          <cell r="G453">
            <v>0</v>
          </cell>
          <cell r="H453">
            <v>212969.5</v>
          </cell>
          <cell r="I453">
            <v>2958146.355</v>
          </cell>
          <cell r="P453" t="str">
            <v>LOANS</v>
          </cell>
          <cell r="Q453" t="e">
            <v>#REF!</v>
          </cell>
        </row>
        <row r="454">
          <cell r="B454" t="str">
            <v>DEPOSITS FROM BANKS-CALL</v>
          </cell>
          <cell r="E454">
            <v>0</v>
          </cell>
          <cell r="G454">
            <v>0</v>
          </cell>
          <cell r="I454">
            <v>0</v>
          </cell>
          <cell r="P454" t="str">
            <v>LOANS AGST.IMP.MERCH.</v>
          </cell>
          <cell r="Q454" t="e">
            <v>#REF!</v>
          </cell>
        </row>
        <row r="455">
          <cell r="B455" t="str">
            <v>DEPOSITS FROM BANKS-TIME</v>
          </cell>
          <cell r="E455">
            <v>0</v>
          </cell>
          <cell r="F455">
            <v>16500000</v>
          </cell>
          <cell r="G455">
            <v>833910000</v>
          </cell>
          <cell r="I455">
            <v>0</v>
          </cell>
          <cell r="P455" t="str">
            <v>LOANS AGST.FOREIGN BILLS</v>
          </cell>
          <cell r="Q455" t="e">
            <v>#REF!</v>
          </cell>
        </row>
        <row r="456">
          <cell r="E456">
            <v>0</v>
          </cell>
          <cell r="G456">
            <v>0</v>
          </cell>
          <cell r="I456">
            <v>0</v>
          </cell>
          <cell r="P456" t="str">
            <v>LOAN AGAINST PACKING CREDIT</v>
          </cell>
          <cell r="Q456" t="e">
            <v>#REF!</v>
          </cell>
        </row>
        <row r="457">
          <cell r="B457" t="str">
            <v>DEPOSITS FROM BRANCHES-CURRENT</v>
          </cell>
          <cell r="D457">
            <v>15293531.859999999</v>
          </cell>
          <cell r="E457">
            <v>772935100.20439994</v>
          </cell>
          <cell r="G457">
            <v>0</v>
          </cell>
          <cell r="H457">
            <v>321132.86</v>
          </cell>
          <cell r="I457">
            <v>4460535.4254000001</v>
          </cell>
          <cell r="P457" t="str">
            <v>LOANS AGST.TRUST RECEIPTS</v>
          </cell>
          <cell r="Q457" t="e">
            <v>#REF!</v>
          </cell>
        </row>
        <row r="458">
          <cell r="B458" t="str">
            <v>DEPOSITS FROM BRANCHES-CALL</v>
          </cell>
          <cell r="E458">
            <v>0</v>
          </cell>
          <cell r="G458">
            <v>0</v>
          </cell>
          <cell r="I458">
            <v>0</v>
          </cell>
          <cell r="Q458" t="e">
            <v>#REF!</v>
          </cell>
        </row>
        <row r="459">
          <cell r="B459" t="str">
            <v>DEPOSITS FROM BRANCHES-FIXED</v>
          </cell>
          <cell r="E459">
            <v>0</v>
          </cell>
          <cell r="F459">
            <v>95366438.319999993</v>
          </cell>
          <cell r="G459">
            <v>4819819792.6927996</v>
          </cell>
          <cell r="I459">
            <v>0</v>
          </cell>
          <cell r="P459" t="e">
            <v>#REF!</v>
          </cell>
          <cell r="Q459" t="e">
            <v>#REF!</v>
          </cell>
        </row>
        <row r="460">
          <cell r="B460" t="str">
            <v>HEAD OFFICE DEPOSITS</v>
          </cell>
          <cell r="E460">
            <v>0</v>
          </cell>
          <cell r="F460">
            <v>5630447.4800000004</v>
          </cell>
          <cell r="G460">
            <v>284562815.63920003</v>
          </cell>
          <cell r="H460">
            <v>169396.52</v>
          </cell>
          <cell r="I460">
            <v>2352917.6628</v>
          </cell>
          <cell r="P460" t="e">
            <v>#REF!</v>
          </cell>
          <cell r="Q460" t="e">
            <v>#REF!</v>
          </cell>
        </row>
        <row r="461">
          <cell r="I461">
            <v>0</v>
          </cell>
          <cell r="Q461" t="e">
            <v>#REF!</v>
          </cell>
        </row>
        <row r="462">
          <cell r="B462" t="str">
            <v>SAVING BANK DEPOSITS</v>
          </cell>
          <cell r="D462">
            <v>95633.94</v>
          </cell>
          <cell r="E462">
            <v>4833339.3276000004</v>
          </cell>
          <cell r="G462">
            <v>0</v>
          </cell>
          <cell r="H462">
            <v>28751359.390000001</v>
          </cell>
          <cell r="I462">
            <v>399356381.9271</v>
          </cell>
          <cell r="Q462" t="e">
            <v>#REF!</v>
          </cell>
        </row>
        <row r="463">
          <cell r="B463" t="str">
            <v>FOREIGN CURRENCY S.B.DEPOSITS</v>
          </cell>
          <cell r="E463">
            <v>0</v>
          </cell>
          <cell r="G463">
            <v>0</v>
          </cell>
          <cell r="I463">
            <v>0</v>
          </cell>
        </row>
        <row r="464">
          <cell r="E464">
            <v>0</v>
          </cell>
          <cell r="G464">
            <v>0</v>
          </cell>
          <cell r="I464">
            <v>0</v>
          </cell>
          <cell r="P464" t="str">
            <v>TEMPORARY OVERDRAFT</v>
          </cell>
          <cell r="Q464" t="e">
            <v>#REF!</v>
          </cell>
        </row>
        <row r="465">
          <cell r="B465" t="str">
            <v>FIXED DEPOSITS</v>
          </cell>
          <cell r="D465">
            <v>2344254.56</v>
          </cell>
          <cell r="E465">
            <v>118478625.4624</v>
          </cell>
          <cell r="F465">
            <v>12346621.640000001</v>
          </cell>
          <cell r="G465">
            <v>623998257.68560004</v>
          </cell>
          <cell r="H465">
            <v>67223061.109999999</v>
          </cell>
          <cell r="I465">
            <v>933728318.81790006</v>
          </cell>
          <cell r="P465" t="str">
            <v>CLEAN OVERDRAFT</v>
          </cell>
          <cell r="Q465" t="e">
            <v>#REF!</v>
          </cell>
        </row>
        <row r="466">
          <cell r="B466" t="str">
            <v>SHORT TERM DEPOSITS</v>
          </cell>
          <cell r="E466">
            <v>0</v>
          </cell>
          <cell r="G466">
            <v>0</v>
          </cell>
          <cell r="H466">
            <v>12526860.02</v>
          </cell>
          <cell r="I466">
            <v>173998085.6778</v>
          </cell>
          <cell r="P466" t="str">
            <v>SANCTIONED OVERDRAFT</v>
          </cell>
          <cell r="Q466" t="e">
            <v>#REF!</v>
          </cell>
        </row>
        <row r="467">
          <cell r="B467" t="str">
            <v>FOREIGN CURRENCY FIXED DEPOSITS</v>
          </cell>
          <cell r="E467">
            <v>0</v>
          </cell>
          <cell r="G467">
            <v>0</v>
          </cell>
          <cell r="H467">
            <v>68045916.120000005</v>
          </cell>
          <cell r="I467">
            <v>945157774.90680015</v>
          </cell>
          <cell r="Q467" t="e">
            <v>#REF!</v>
          </cell>
        </row>
        <row r="468">
          <cell r="B468" t="str">
            <v>F.CURRENCY SHORT TERM DEP.</v>
          </cell>
          <cell r="E468">
            <v>0</v>
          </cell>
          <cell r="G468">
            <v>0</v>
          </cell>
          <cell r="H468">
            <v>64697.73</v>
          </cell>
          <cell r="I468">
            <v>898651.46970000013</v>
          </cell>
          <cell r="P468" t="str">
            <v>PAD (OVERDUE IFDBC)</v>
          </cell>
          <cell r="Q468" t="e">
            <v>#REF!</v>
          </cell>
        </row>
        <row r="469">
          <cell r="E469">
            <v>0</v>
          </cell>
          <cell r="G469">
            <v>0</v>
          </cell>
          <cell r="I469">
            <v>0</v>
          </cell>
          <cell r="P469" t="str">
            <v>INLAND BILLS PURCHASED</v>
          </cell>
          <cell r="Q469" t="e">
            <v>#REF!</v>
          </cell>
        </row>
        <row r="470">
          <cell r="B470" t="str">
            <v>PAY ORDERS ISSUED</v>
          </cell>
          <cell r="E470">
            <v>0</v>
          </cell>
          <cell r="G470">
            <v>0</v>
          </cell>
          <cell r="H470">
            <v>218779</v>
          </cell>
          <cell r="I470">
            <v>3038840.31</v>
          </cell>
          <cell r="P470" t="str">
            <v>PAYMENT AGST. DOCUMENTS</v>
          </cell>
          <cell r="Q470" t="e">
            <v>#REF!</v>
          </cell>
        </row>
        <row r="471">
          <cell r="B471" t="str">
            <v>PAY SLIPS ISSUED</v>
          </cell>
          <cell r="E471">
            <v>0</v>
          </cell>
          <cell r="G471">
            <v>0</v>
          </cell>
          <cell r="I471">
            <v>0</v>
          </cell>
          <cell r="P471" t="str">
            <v>FOREIGN BILLS PUR/DISCOUNTED</v>
          </cell>
          <cell r="Q471" t="e">
            <v>#REF!</v>
          </cell>
        </row>
        <row r="472">
          <cell r="B472" t="str">
            <v>DEMAND DRAFTS PAYABLE</v>
          </cell>
          <cell r="E472">
            <v>0</v>
          </cell>
          <cell r="G472">
            <v>0</v>
          </cell>
          <cell r="I472">
            <v>0</v>
          </cell>
          <cell r="P472" t="str">
            <v>LOCAL BILLS DISCOUNTED</v>
          </cell>
          <cell r="Q472" t="e">
            <v>#REF!</v>
          </cell>
        </row>
        <row r="473">
          <cell r="B473" t="str">
            <v>TELEGRAPHIC TRANSFERS</v>
          </cell>
          <cell r="E473">
            <v>0</v>
          </cell>
          <cell r="G473">
            <v>0</v>
          </cell>
          <cell r="H473">
            <v>14975</v>
          </cell>
          <cell r="I473">
            <v>208002.75</v>
          </cell>
          <cell r="Q473" t="e">
            <v>#REF!</v>
          </cell>
        </row>
        <row r="474">
          <cell r="B474" t="str">
            <v>MAIL TRANSFER</v>
          </cell>
          <cell r="E474">
            <v>0</v>
          </cell>
          <cell r="G474">
            <v>0</v>
          </cell>
          <cell r="I474">
            <v>0</v>
          </cell>
          <cell r="P474" t="str">
            <v>OTHER ASSETS</v>
          </cell>
          <cell r="Q474" t="e">
            <v>#REF!</v>
          </cell>
        </row>
        <row r="475">
          <cell r="B475" t="str">
            <v>FOREIGN MAIL TRANSFERS</v>
          </cell>
          <cell r="E475">
            <v>0</v>
          </cell>
          <cell r="G475">
            <v>0</v>
          </cell>
          <cell r="I475">
            <v>0</v>
          </cell>
          <cell r="P475" t="str">
            <v>------------</v>
          </cell>
          <cell r="Q475" t="e">
            <v>#REF!</v>
          </cell>
        </row>
        <row r="476">
          <cell r="B476" t="str">
            <v>B/P - HEAD OFFICE</v>
          </cell>
          <cell r="E476">
            <v>0</v>
          </cell>
          <cell r="G476">
            <v>0</v>
          </cell>
          <cell r="I476">
            <v>0</v>
          </cell>
          <cell r="P476" t="str">
            <v>IMMOVABLE PROPERTY</v>
          </cell>
          <cell r="Q476" t="e">
            <v>#REF!</v>
          </cell>
        </row>
        <row r="477">
          <cell r="B477" t="str">
            <v>ADJUSTING ACCOUNT CREDIT</v>
          </cell>
          <cell r="D477">
            <v>106271.18</v>
          </cell>
          <cell r="E477">
            <v>5370945.4371999996</v>
          </cell>
          <cell r="F477">
            <v>316344</v>
          </cell>
          <cell r="G477">
            <v>15988025.76</v>
          </cell>
          <cell r="H477">
            <v>2015950</v>
          </cell>
          <cell r="I477">
            <v>28001545.5</v>
          </cell>
          <cell r="P477" t="str">
            <v>FURNITURE &amp; FIXTURE</v>
          </cell>
          <cell r="Q477" t="e">
            <v>#REF!</v>
          </cell>
        </row>
        <row r="478">
          <cell r="E478">
            <v>0</v>
          </cell>
          <cell r="G478">
            <v>0</v>
          </cell>
          <cell r="I478">
            <v>0</v>
          </cell>
          <cell r="P478" t="str">
            <v>STOCK OF STATIONERY</v>
          </cell>
          <cell r="Q478" t="e">
            <v>#REF!</v>
          </cell>
        </row>
        <row r="479">
          <cell r="B479" t="str">
            <v>BORROWINGS FROM BANKS</v>
          </cell>
          <cell r="D479">
            <v>14800000</v>
          </cell>
          <cell r="E479">
            <v>747992000</v>
          </cell>
          <cell r="G479">
            <v>0</v>
          </cell>
          <cell r="I479">
            <v>0</v>
          </cell>
          <cell r="P479" t="str">
            <v>STAMPS ON HAND</v>
          </cell>
          <cell r="Q479" t="e">
            <v>#REF!</v>
          </cell>
        </row>
        <row r="480">
          <cell r="B480" t="str">
            <v>BORROWINGS FROM BRANCHES</v>
          </cell>
          <cell r="D480">
            <v>1350000</v>
          </cell>
          <cell r="E480">
            <v>68229000</v>
          </cell>
          <cell r="G480">
            <v>0</v>
          </cell>
          <cell r="I480">
            <v>0</v>
          </cell>
          <cell r="P480" t="str">
            <v>ADVANCE DEPOSITS</v>
          </cell>
          <cell r="Q480" t="e">
            <v>#REF!</v>
          </cell>
        </row>
        <row r="481">
          <cell r="E481">
            <v>0</v>
          </cell>
          <cell r="G481">
            <v>0</v>
          </cell>
          <cell r="I481">
            <v>0</v>
          </cell>
          <cell r="P481" t="str">
            <v>LEASE HOLD IMPROVEMENT</v>
          </cell>
          <cell r="Q481" t="e">
            <v>#REF!</v>
          </cell>
        </row>
        <row r="482">
          <cell r="B482" t="str">
            <v>OTHER LIABILITIES</v>
          </cell>
          <cell r="E482">
            <v>0</v>
          </cell>
          <cell r="G482">
            <v>0</v>
          </cell>
          <cell r="I482">
            <v>0</v>
          </cell>
          <cell r="Q482" t="e">
            <v>#REF!</v>
          </cell>
        </row>
        <row r="483">
          <cell r="B483" t="str">
            <v>-----------------</v>
          </cell>
          <cell r="E483">
            <v>0</v>
          </cell>
          <cell r="G483">
            <v>0</v>
          </cell>
          <cell r="I483">
            <v>0</v>
          </cell>
          <cell r="Q483" t="e">
            <v>#REF!</v>
          </cell>
        </row>
        <row r="484">
          <cell r="B484" t="str">
            <v>INTEREST ON CLASSIFIED ADVANCES</v>
          </cell>
          <cell r="D484">
            <v>527659.87</v>
          </cell>
          <cell r="E484">
            <v>26667929.829799999</v>
          </cell>
          <cell r="F484">
            <v>13079232.449999999</v>
          </cell>
          <cell r="G484">
            <v>661024408.023</v>
          </cell>
          <cell r="H484">
            <v>10026787.970000001</v>
          </cell>
          <cell r="I484">
            <v>139272084.90330002</v>
          </cell>
          <cell r="P484" t="str">
            <v>SUSPENSE ACCOUNT</v>
          </cell>
          <cell r="Q484" t="e">
            <v>#REF!</v>
          </cell>
        </row>
        <row r="485">
          <cell r="B485" t="str">
            <v>PROVISION FOR TAX</v>
          </cell>
          <cell r="E485">
            <v>0</v>
          </cell>
          <cell r="G485">
            <v>0</v>
          </cell>
          <cell r="I485">
            <v>0</v>
          </cell>
          <cell r="P485" t="str">
            <v>----------------</v>
          </cell>
          <cell r="Q485" t="e">
            <v>#REF!</v>
          </cell>
        </row>
        <row r="486">
          <cell r="B486" t="str">
            <v>ACCMULATED DEPRECIATION ON F/F</v>
          </cell>
          <cell r="E486">
            <v>0</v>
          </cell>
          <cell r="G486">
            <v>0</v>
          </cell>
          <cell r="I486">
            <v>0</v>
          </cell>
          <cell r="P486" t="str">
            <v>SUNDRY DEBTORS</v>
          </cell>
          <cell r="Q486" t="e">
            <v>#REF!</v>
          </cell>
        </row>
        <row r="487">
          <cell r="B487" t="str">
            <v>OTHERS</v>
          </cell>
          <cell r="E487">
            <v>0</v>
          </cell>
          <cell r="G487">
            <v>0</v>
          </cell>
          <cell r="H487">
            <v>967000</v>
          </cell>
          <cell r="I487">
            <v>13431630</v>
          </cell>
          <cell r="P487" t="str">
            <v>D.D.PAID WITHOUT ADVICE</v>
          </cell>
          <cell r="Q487" t="e">
            <v>#REF!</v>
          </cell>
        </row>
        <row r="488">
          <cell r="B488" t="str">
            <v>CONTRA CASH ATM</v>
          </cell>
          <cell r="E488">
            <v>0</v>
          </cell>
          <cell r="G488">
            <v>0</v>
          </cell>
          <cell r="I488">
            <v>0</v>
          </cell>
          <cell r="P488" t="str">
            <v>D.DS. CANCELLED</v>
          </cell>
          <cell r="Q488" t="e">
            <v>#REF!</v>
          </cell>
        </row>
        <row r="489">
          <cell r="B489" t="str">
            <v>PROV.FOR DIMUNATION VAL.</v>
          </cell>
          <cell r="E489">
            <v>0</v>
          </cell>
          <cell r="F489">
            <v>206880</v>
          </cell>
          <cell r="G489">
            <v>10455715.199999999</v>
          </cell>
          <cell r="I489">
            <v>0</v>
          </cell>
          <cell r="P489" t="str">
            <v>ADVANCE AGST. T.A.BILLS/SALARY</v>
          </cell>
          <cell r="Q489" t="e">
            <v>#REF!</v>
          </cell>
        </row>
        <row r="490">
          <cell r="P490" t="str">
            <v>CLEARING/T.D.ADJUSTMENTS</v>
          </cell>
          <cell r="Q490" t="e">
            <v>#REF!</v>
          </cell>
        </row>
        <row r="491">
          <cell r="B491" t="str">
            <v>BALANCE OF LOCAL/OTHER BANKS</v>
          </cell>
          <cell r="E491">
            <v>0</v>
          </cell>
          <cell r="G491">
            <v>0</v>
          </cell>
          <cell r="I491">
            <v>0</v>
          </cell>
          <cell r="P491" t="str">
            <v>ADVANCE RENT PAID</v>
          </cell>
          <cell r="Q491" t="e">
            <v>#REF!</v>
          </cell>
        </row>
        <row r="492">
          <cell r="B492" t="str">
            <v>BALANCE OF FOREIGN BANKS</v>
          </cell>
          <cell r="E492">
            <v>0</v>
          </cell>
          <cell r="G492">
            <v>0</v>
          </cell>
          <cell r="I492">
            <v>0</v>
          </cell>
        </row>
        <row r="493">
          <cell r="E493">
            <v>0</v>
          </cell>
          <cell r="G493">
            <v>0</v>
          </cell>
          <cell r="I493">
            <v>0</v>
          </cell>
          <cell r="P493" t="str">
            <v>POSTAGE/TELEPHONE/PETTY CASH</v>
          </cell>
          <cell r="Q493" t="e">
            <v>#REF!</v>
          </cell>
        </row>
        <row r="494">
          <cell r="B494" t="str">
            <v>BALANCE OF LOCAL UBL BRS.</v>
          </cell>
          <cell r="E494">
            <v>0</v>
          </cell>
          <cell r="G494">
            <v>0</v>
          </cell>
          <cell r="I494">
            <v>0</v>
          </cell>
          <cell r="P494" t="str">
            <v>LEGAL EXPENSES</v>
          </cell>
          <cell r="Q494" t="e">
            <v>#REF!</v>
          </cell>
        </row>
        <row r="495">
          <cell r="B495" t="str">
            <v>BALANCE OF FOREIGN UBL BRS.</v>
          </cell>
          <cell r="E495">
            <v>0</v>
          </cell>
          <cell r="G495">
            <v>0</v>
          </cell>
          <cell r="I495">
            <v>0</v>
          </cell>
          <cell r="P495" t="str">
            <v>OTHERS</v>
          </cell>
          <cell r="Q495" t="e">
            <v>#REF!</v>
          </cell>
        </row>
        <row r="496">
          <cell r="E496">
            <v>0</v>
          </cell>
          <cell r="G496">
            <v>0</v>
          </cell>
          <cell r="I496">
            <v>0</v>
          </cell>
          <cell r="P496" t="e">
            <v>#REF!</v>
          </cell>
          <cell r="Q496" t="e">
            <v>#REF!</v>
          </cell>
        </row>
        <row r="497">
          <cell r="B497" t="str">
            <v xml:space="preserve">C O N T R A </v>
          </cell>
          <cell r="E497">
            <v>0</v>
          </cell>
          <cell r="G497">
            <v>0</v>
          </cell>
          <cell r="I497">
            <v>0</v>
          </cell>
          <cell r="Q497" t="e">
            <v>#REF!</v>
          </cell>
        </row>
        <row r="498">
          <cell r="B498" t="str">
            <v>-----------</v>
          </cell>
          <cell r="E498">
            <v>0</v>
          </cell>
          <cell r="G498">
            <v>0</v>
          </cell>
          <cell r="I498">
            <v>0</v>
          </cell>
          <cell r="Q498" t="e">
            <v>#REF!</v>
          </cell>
        </row>
        <row r="499">
          <cell r="B499" t="str">
            <v>BILLS FOR COLLECTION</v>
          </cell>
          <cell r="E499">
            <v>0</v>
          </cell>
          <cell r="G499">
            <v>0</v>
          </cell>
          <cell r="I499">
            <v>0</v>
          </cell>
          <cell r="P499" t="str">
            <v xml:space="preserve">C O N T R A </v>
          </cell>
          <cell r="Q499" t="e">
            <v>#REF!</v>
          </cell>
        </row>
        <row r="500">
          <cell r="B500" t="str">
            <v>FOREIGN BILLS FOR COLLECTION</v>
          </cell>
          <cell r="D500">
            <v>18620913</v>
          </cell>
          <cell r="E500">
            <v>941100943.01999998</v>
          </cell>
          <cell r="F500">
            <v>764286</v>
          </cell>
          <cell r="G500">
            <v>38627014.439999998</v>
          </cell>
          <cell r="H500">
            <v>9687850</v>
          </cell>
          <cell r="I500">
            <v>134564236.5</v>
          </cell>
          <cell r="P500" t="str">
            <v>-----------</v>
          </cell>
          <cell r="Q500" t="e">
            <v>#REF!</v>
          </cell>
        </row>
        <row r="501">
          <cell r="B501" t="str">
            <v>BANKER'S LIABILITY L.G.</v>
          </cell>
          <cell r="E501">
            <v>0</v>
          </cell>
          <cell r="F501">
            <v>10062</v>
          </cell>
          <cell r="G501">
            <v>508533.48</v>
          </cell>
          <cell r="H501">
            <v>17466800</v>
          </cell>
          <cell r="I501">
            <v>242613852</v>
          </cell>
          <cell r="P501" t="str">
            <v>BILLS LODGED</v>
          </cell>
          <cell r="Q501" t="e">
            <v>#REF!</v>
          </cell>
        </row>
        <row r="502">
          <cell r="B502" t="str">
            <v>BANKER'S LIABILITY L.C.</v>
          </cell>
          <cell r="D502">
            <v>658954</v>
          </cell>
          <cell r="E502">
            <v>33303535.16</v>
          </cell>
          <cell r="F502">
            <v>144537</v>
          </cell>
          <cell r="G502">
            <v>7304899.9799999995</v>
          </cell>
          <cell r="H502">
            <v>15131600</v>
          </cell>
          <cell r="I502">
            <v>210177924</v>
          </cell>
          <cell r="P502" t="str">
            <v>FOREIGN BILLS LODGED</v>
          </cell>
          <cell r="Q502" t="e">
            <v>#REF!</v>
          </cell>
        </row>
        <row r="503">
          <cell r="B503" t="str">
            <v>BANKER'S LIABILITY L.C.(GOVT.)</v>
          </cell>
          <cell r="E503">
            <v>0</v>
          </cell>
          <cell r="G503">
            <v>0</v>
          </cell>
          <cell r="I503">
            <v>0</v>
          </cell>
          <cell r="P503" t="str">
            <v>CURTOMER'S LIABILITY L.G.</v>
          </cell>
          <cell r="Q503" t="e">
            <v>#REF!</v>
          </cell>
        </row>
        <row r="504">
          <cell r="B504" t="str">
            <v>BANKER'S LIABILITY S.G.</v>
          </cell>
          <cell r="D504">
            <v>19672</v>
          </cell>
          <cell r="E504">
            <v>994222.88</v>
          </cell>
          <cell r="G504">
            <v>0</v>
          </cell>
          <cell r="H504">
            <v>298500</v>
          </cell>
          <cell r="I504">
            <v>4146165</v>
          </cell>
          <cell r="P504" t="str">
            <v>CUSTOMER'S LIABILITY L.C.</v>
          </cell>
          <cell r="Q504" t="e">
            <v>#REF!</v>
          </cell>
        </row>
        <row r="505">
          <cell r="E505">
            <v>0</v>
          </cell>
          <cell r="G505">
            <v>0</v>
          </cell>
          <cell r="I505">
            <v>0</v>
          </cell>
          <cell r="P505" t="str">
            <v>CUSTOMER'S LIABILITY L.C.(GOVT)</v>
          </cell>
          <cell r="Q505" t="e">
            <v>#REF!</v>
          </cell>
        </row>
        <row r="506">
          <cell r="B506" t="str">
            <v>MAIN OFFICE ACCOUNT</v>
          </cell>
          <cell r="E506">
            <v>0</v>
          </cell>
          <cell r="G506">
            <v>0</v>
          </cell>
          <cell r="I506">
            <v>0</v>
          </cell>
          <cell r="P506" t="str">
            <v>CUSTOMER'S LIABILITY S.G.</v>
          </cell>
          <cell r="Q506" t="e">
            <v>#REF!</v>
          </cell>
        </row>
        <row r="507">
          <cell r="E507">
            <v>0</v>
          </cell>
          <cell r="G507">
            <v>0</v>
          </cell>
          <cell r="I507">
            <v>0</v>
          </cell>
          <cell r="Q507" t="e">
            <v>#REF!</v>
          </cell>
        </row>
        <row r="508">
          <cell r="B508" t="str">
            <v>INCOME ACCOUNT</v>
          </cell>
          <cell r="D508">
            <v>3386436.03</v>
          </cell>
          <cell r="E508">
            <v>171150476.95619997</v>
          </cell>
          <cell r="F508">
            <v>8082215.7599999998</v>
          </cell>
          <cell r="G508">
            <v>408475184.5104</v>
          </cell>
          <cell r="H508">
            <v>19820650.32</v>
          </cell>
          <cell r="I508">
            <v>275308832.94480002</v>
          </cell>
          <cell r="P508" t="str">
            <v>MAIN OFFICE ACCOUNT</v>
          </cell>
          <cell r="Q508" t="e">
            <v>#REF!</v>
          </cell>
        </row>
        <row r="509">
          <cell r="B509" t="str">
            <v>EXPENDITURE A/C. (CREDIT)</v>
          </cell>
          <cell r="E509">
            <v>0</v>
          </cell>
          <cell r="G509">
            <v>0</v>
          </cell>
          <cell r="I509">
            <v>0</v>
          </cell>
          <cell r="Q509" t="e">
            <v>#REF!</v>
          </cell>
        </row>
        <row r="510">
          <cell r="I510">
            <v>0</v>
          </cell>
          <cell r="P510" t="str">
            <v>EXPENDITURE ACCOUNT</v>
          </cell>
          <cell r="Q510" t="e">
            <v>#REF!</v>
          </cell>
        </row>
        <row r="511">
          <cell r="B511" t="str">
            <v>-</v>
          </cell>
          <cell r="D511" t="str">
            <v>-</v>
          </cell>
          <cell r="E511" t="str">
            <v>-</v>
          </cell>
          <cell r="F511" t="str">
            <v>-</v>
          </cell>
          <cell r="G511" t="str">
            <v>-</v>
          </cell>
          <cell r="H511" t="str">
            <v>-</v>
          </cell>
          <cell r="I511" t="str">
            <v>-</v>
          </cell>
          <cell r="P511" t="str">
            <v>INCOME ACCOUNT (DEBIT)</v>
          </cell>
          <cell r="Q511" t="e">
            <v>#REF!</v>
          </cell>
        </row>
        <row r="512">
          <cell r="B512" t="str">
            <v>TOTAL LIABILITIES</v>
          </cell>
          <cell r="D512">
            <v>67205281.719999999</v>
          </cell>
          <cell r="E512">
            <v>3396554938.1287999</v>
          </cell>
          <cell r="F512">
            <v>159386762.22999996</v>
          </cell>
          <cell r="G512">
            <v>8055406963.1041985</v>
          </cell>
          <cell r="H512">
            <v>323034178.5</v>
          </cell>
          <cell r="I512">
            <v>4486944739.3650007</v>
          </cell>
        </row>
        <row r="513">
          <cell r="B513" t="str">
            <v>-</v>
          </cell>
          <cell r="D513" t="str">
            <v>-</v>
          </cell>
          <cell r="E513" t="str">
            <v>-</v>
          </cell>
          <cell r="F513" t="str">
            <v>-</v>
          </cell>
          <cell r="G513" t="str">
            <v>-</v>
          </cell>
          <cell r="H513" t="str">
            <v>-</v>
          </cell>
          <cell r="I513" t="str">
            <v>-</v>
          </cell>
          <cell r="P513" t="str">
            <v>-</v>
          </cell>
          <cell r="Q513" t="str">
            <v>-</v>
          </cell>
        </row>
        <row r="514">
          <cell r="B514" t="str">
            <v>LIABILITIES</v>
          </cell>
          <cell r="D514">
            <v>67205281.719999999</v>
          </cell>
          <cell r="E514">
            <v>3396554938.1287999</v>
          </cell>
          <cell r="F514">
            <v>159386762.22999999</v>
          </cell>
          <cell r="G514">
            <v>8055406963.1041994</v>
          </cell>
          <cell r="H514">
            <v>323034178.5</v>
          </cell>
          <cell r="I514">
            <v>4486944739.3649998</v>
          </cell>
          <cell r="P514" t="str">
            <v>TOTAL ASSETS</v>
          </cell>
          <cell r="Q514" t="e">
            <v>#REF!</v>
          </cell>
        </row>
        <row r="515">
          <cell r="B515" t="str">
            <v>-</v>
          </cell>
          <cell r="D515" t="str">
            <v>-</v>
          </cell>
          <cell r="E515" t="str">
            <v>-</v>
          </cell>
          <cell r="F515" t="str">
            <v>-</v>
          </cell>
          <cell r="G515" t="str">
            <v>-</v>
          </cell>
          <cell r="H515" t="str">
            <v>-</v>
          </cell>
          <cell r="I515" t="str">
            <v>-</v>
          </cell>
          <cell r="P515" t="str">
            <v>-</v>
          </cell>
          <cell r="Q515" t="str">
            <v>-</v>
          </cell>
        </row>
        <row r="516">
          <cell r="B516" t="str">
            <v>DIFFERENCE</v>
          </cell>
          <cell r="D516">
            <v>0</v>
          </cell>
          <cell r="E516">
            <v>0</v>
          </cell>
          <cell r="F516">
            <v>0</v>
          </cell>
          <cell r="G516">
            <v>0</v>
          </cell>
          <cell r="H516">
            <v>0</v>
          </cell>
          <cell r="I516">
            <v>0</v>
          </cell>
          <cell r="P516" t="str">
            <v>ASSETS</v>
          </cell>
          <cell r="Q516" t="e">
            <v>#REF!</v>
          </cell>
        </row>
        <row r="517">
          <cell r="B517" t="str">
            <v>-</v>
          </cell>
          <cell r="D517" t="str">
            <v>-</v>
          </cell>
          <cell r="E517" t="str">
            <v>-</v>
          </cell>
          <cell r="F517" t="str">
            <v>-</v>
          </cell>
          <cell r="G517" t="str">
            <v>-</v>
          </cell>
          <cell r="H517" t="str">
            <v>-</v>
          </cell>
          <cell r="I517" t="str">
            <v>-</v>
          </cell>
          <cell r="P517" t="str">
            <v>-</v>
          </cell>
          <cell r="Q517" t="str">
            <v>-</v>
          </cell>
        </row>
        <row r="518">
          <cell r="B518" t="str">
            <v>DEPOSITS</v>
          </cell>
          <cell r="D518">
            <v>21639791.579999998</v>
          </cell>
          <cell r="E518">
            <v>1093675066.4531999</v>
          </cell>
          <cell r="F518">
            <v>130147261.02</v>
          </cell>
          <cell r="G518">
            <v>6577642571.9507999</v>
          </cell>
          <cell r="H518">
            <v>208199493.94999999</v>
          </cell>
          <cell r="I518">
            <v>2891890970.9654999</v>
          </cell>
          <cell r="P518" t="str">
            <v>DIFFERENCE</v>
          </cell>
          <cell r="Q518" t="e">
            <v>#REF!</v>
          </cell>
        </row>
        <row r="519">
          <cell r="B519" t="str">
            <v>-</v>
          </cell>
          <cell r="D519" t="str">
            <v>-</v>
          </cell>
          <cell r="E519" t="str">
            <v>-</v>
          </cell>
          <cell r="F519" t="str">
            <v>-</v>
          </cell>
          <cell r="G519" t="str">
            <v>-</v>
          </cell>
          <cell r="H519" t="str">
            <v>-</v>
          </cell>
          <cell r="I519" t="str">
            <v>-</v>
          </cell>
          <cell r="P519" t="str">
            <v>-</v>
          </cell>
          <cell r="Q519" t="str">
            <v>-</v>
          </cell>
        </row>
        <row r="520">
          <cell r="B520" t="str">
            <v>INTER BRANCH DEPOSITS</v>
          </cell>
          <cell r="D520">
            <v>15293531.859999999</v>
          </cell>
          <cell r="E520">
            <v>772935100.20439994</v>
          </cell>
          <cell r="F520">
            <v>100996885.8</v>
          </cell>
          <cell r="G520">
            <v>5104382608.3319998</v>
          </cell>
          <cell r="H520">
            <v>490529.38</v>
          </cell>
          <cell r="I520">
            <v>6813453.0882000001</v>
          </cell>
          <cell r="P520" t="str">
            <v>ADVANCES</v>
          </cell>
          <cell r="Q520" t="e">
            <v>#REF!</v>
          </cell>
        </row>
        <row r="521">
          <cell r="B521" t="str">
            <v>NET DEPOSITS</v>
          </cell>
          <cell r="D521">
            <v>6346259.7199999988</v>
          </cell>
          <cell r="E521">
            <v>320739966.24879992</v>
          </cell>
          <cell r="F521">
            <v>29150375.219999999</v>
          </cell>
          <cell r="G521">
            <v>1473259963.6188002</v>
          </cell>
          <cell r="H521">
            <v>207708964.56999999</v>
          </cell>
          <cell r="I521">
            <v>2885077517.8772998</v>
          </cell>
          <cell r="P521" t="str">
            <v>-</v>
          </cell>
          <cell r="Q521" t="str">
            <v>-</v>
          </cell>
        </row>
        <row r="522">
          <cell r="A522" t="str">
            <v>|::</v>
          </cell>
          <cell r="P522" t="str">
            <v>INTER BRANCH ADVANCES</v>
          </cell>
          <cell r="Q522" t="e">
            <v>#REF!</v>
          </cell>
        </row>
        <row r="523">
          <cell r="P523" t="str">
            <v>NET ADVANCES</v>
          </cell>
          <cell r="Q523" t="e">
            <v>#REF!</v>
          </cell>
        </row>
        <row r="524">
          <cell r="B524" t="str">
            <v>UNITED BANK LIMITED  FINANCE DIVISION (OVERSEAS BRANCHES)</v>
          </cell>
        </row>
        <row r="525">
          <cell r="B525" t="str">
            <v xml:space="preserve">STATEMENT OF AFFAIRS  AS ON 31ST DECEMBER, 1998 </v>
          </cell>
        </row>
        <row r="527">
          <cell r="B527" t="str">
            <v>-</v>
          </cell>
          <cell r="D527" t="str">
            <v>-</v>
          </cell>
        </row>
        <row r="528">
          <cell r="D528" t="str">
            <v>TOTAL ALL OVERSEAS</v>
          </cell>
        </row>
        <row r="529">
          <cell r="D529" t="str">
            <v>PAK.RS.</v>
          </cell>
        </row>
        <row r="530">
          <cell r="B530" t="str">
            <v>HEAD OF ACCOUNTS</v>
          </cell>
          <cell r="D530" t="str">
            <v>DECEMBER,1998</v>
          </cell>
        </row>
        <row r="531">
          <cell r="B531" t="str">
            <v>-</v>
          </cell>
          <cell r="D531" t="str">
            <v>-</v>
          </cell>
        </row>
        <row r="532">
          <cell r="B532" t="str">
            <v>LIABILITIES</v>
          </cell>
        </row>
        <row r="533">
          <cell r="B533" t="str">
            <v>-----------</v>
          </cell>
        </row>
        <row r="534">
          <cell r="B534" t="str">
            <v>CAPITAL</v>
          </cell>
          <cell r="D534" t="e">
            <v>#REF!</v>
          </cell>
        </row>
        <row r="535">
          <cell r="B535" t="str">
            <v>PROFIT (UNREMITTED)</v>
          </cell>
          <cell r="D535" t="e">
            <v>#REF!</v>
          </cell>
        </row>
        <row r="536">
          <cell r="B536" t="str">
            <v>RESERVE FOR CAPITAL REQUIREMENT</v>
          </cell>
          <cell r="D536" t="e">
            <v>#REF!</v>
          </cell>
        </row>
        <row r="537">
          <cell r="B537" t="str">
            <v>LEGAL RESERVE</v>
          </cell>
          <cell r="D537" t="e">
            <v>#REF!</v>
          </cell>
        </row>
        <row r="538">
          <cell r="B538" t="str">
            <v>EXCHANGE FLUCTUATION RESERVE</v>
          </cell>
          <cell r="D538" t="e">
            <v>#REF!</v>
          </cell>
        </row>
        <row r="539">
          <cell r="B539" t="str">
            <v>PROVISION FOR BAD DEBTS</v>
          </cell>
          <cell r="D539" t="e">
            <v>#REF!</v>
          </cell>
        </row>
        <row r="540">
          <cell r="B540" t="str">
            <v>PROVISION L.G. CLAIM LOSSES</v>
          </cell>
          <cell r="D540" t="e">
            <v>#REF!</v>
          </cell>
        </row>
        <row r="541">
          <cell r="B541" t="str">
            <v>CAPITAL AND OTHER FUNDS - UK</v>
          </cell>
          <cell r="D541" t="e">
            <v>#REF!</v>
          </cell>
        </row>
        <row r="542">
          <cell r="B542" t="str">
            <v>GENERAL PROVISION - UK</v>
          </cell>
          <cell r="D542" t="e">
            <v>#REF!</v>
          </cell>
        </row>
        <row r="543">
          <cell r="D543" t="e">
            <v>#REF!</v>
          </cell>
        </row>
        <row r="544">
          <cell r="D544" t="e">
            <v>#REF!</v>
          </cell>
        </row>
        <row r="545">
          <cell r="D545" t="e">
            <v>#REF!</v>
          </cell>
        </row>
        <row r="546">
          <cell r="B546" t="str">
            <v>D E P O S I T S</v>
          </cell>
          <cell r="D546" t="e">
            <v>#REF!</v>
          </cell>
        </row>
        <row r="547">
          <cell r="B547" t="str">
            <v>---------------</v>
          </cell>
          <cell r="D547" t="e">
            <v>#REF!</v>
          </cell>
        </row>
        <row r="548">
          <cell r="B548" t="str">
            <v>CURRENT DEPOSITS</v>
          </cell>
          <cell r="D548" t="e">
            <v>#REF!</v>
          </cell>
        </row>
        <row r="549">
          <cell r="B549" t="str">
            <v>CALL DEPOSITS</v>
          </cell>
          <cell r="D549" t="e">
            <v>#REF!</v>
          </cell>
        </row>
        <row r="550">
          <cell r="B550" t="str">
            <v>FOREIGN CURRENCY CURRENT DEPOSITS</v>
          </cell>
          <cell r="D550" t="e">
            <v>#REF!</v>
          </cell>
        </row>
        <row r="551">
          <cell r="B551">
            <v>0</v>
          </cell>
          <cell r="D551" t="e">
            <v>#REF!</v>
          </cell>
        </row>
        <row r="552">
          <cell r="B552" t="str">
            <v>MARGIN ON L.G.</v>
          </cell>
          <cell r="D552" t="e">
            <v>#REF!</v>
          </cell>
        </row>
        <row r="553">
          <cell r="B553" t="str">
            <v>MARGIN ON L.C.</v>
          </cell>
          <cell r="D553" t="e">
            <v>#REF!</v>
          </cell>
        </row>
        <row r="554">
          <cell r="B554" t="str">
            <v>SUNDRY CREDITOR</v>
          </cell>
          <cell r="D554" t="e">
            <v>#REF!</v>
          </cell>
        </row>
        <row r="555">
          <cell r="B555" t="str">
            <v>OTHERS</v>
          </cell>
          <cell r="D555" t="e">
            <v>#REF!</v>
          </cell>
        </row>
        <row r="556">
          <cell r="D556" t="e">
            <v>#REF!</v>
          </cell>
        </row>
        <row r="557">
          <cell r="B557" t="str">
            <v>DEPOSITS FROM BANKS-CURRENT</v>
          </cell>
          <cell r="D557" t="e">
            <v>#REF!</v>
          </cell>
        </row>
        <row r="558">
          <cell r="B558" t="str">
            <v>DEPOSITS FROM BANKS-CALL</v>
          </cell>
          <cell r="D558" t="e">
            <v>#REF!</v>
          </cell>
        </row>
        <row r="559">
          <cell r="B559" t="str">
            <v>DEPOSITS FROM BANKS-TIME</v>
          </cell>
          <cell r="D559" t="e">
            <v>#REF!</v>
          </cell>
        </row>
        <row r="560">
          <cell r="D560" t="e">
            <v>#REF!</v>
          </cell>
        </row>
        <row r="561">
          <cell r="B561" t="str">
            <v>DEPOSITS FROM BRANCHES-CURRENT</v>
          </cell>
          <cell r="D561" t="e">
            <v>#REF!</v>
          </cell>
        </row>
        <row r="562">
          <cell r="B562" t="str">
            <v>DEPOSITS FROM BRANCHES-CALL</v>
          </cell>
          <cell r="D562" t="e">
            <v>#REF!</v>
          </cell>
        </row>
        <row r="563">
          <cell r="B563" t="str">
            <v>DEPOSITS FROM BRANCHES-FIXED</v>
          </cell>
          <cell r="D563" t="e">
            <v>#REF!</v>
          </cell>
        </row>
        <row r="564">
          <cell r="B564" t="str">
            <v>HEAD OFFICE DEPOSITS</v>
          </cell>
          <cell r="D564" t="e">
            <v>#REF!</v>
          </cell>
        </row>
        <row r="565">
          <cell r="D565">
            <v>0</v>
          </cell>
        </row>
        <row r="566">
          <cell r="B566" t="str">
            <v>SAVING BANK DEPOSITS</v>
          </cell>
          <cell r="D566" t="e">
            <v>#REF!</v>
          </cell>
        </row>
        <row r="567">
          <cell r="B567" t="str">
            <v>FOREIGN CURRENCY S.B.DEPOSITS</v>
          </cell>
          <cell r="D567" t="e">
            <v>#REF!</v>
          </cell>
        </row>
        <row r="568">
          <cell r="D568" t="e">
            <v>#REF!</v>
          </cell>
        </row>
        <row r="569">
          <cell r="B569" t="str">
            <v>FIXED DEPOSITS</v>
          </cell>
          <cell r="D569" t="e">
            <v>#REF!</v>
          </cell>
        </row>
        <row r="570">
          <cell r="B570" t="str">
            <v>SHORT TERM DEPOSITS</v>
          </cell>
          <cell r="D570" t="e">
            <v>#REF!</v>
          </cell>
        </row>
        <row r="571">
          <cell r="B571" t="str">
            <v>FOREIGN CURRENCY FIXED DEPOSITS</v>
          </cell>
          <cell r="D571" t="e">
            <v>#REF!</v>
          </cell>
        </row>
        <row r="572">
          <cell r="B572" t="str">
            <v>F.CURRENCY SHORT TERM DEP.</v>
          </cell>
          <cell r="D572" t="e">
            <v>#REF!</v>
          </cell>
        </row>
        <row r="573">
          <cell r="D573" t="e">
            <v>#REF!</v>
          </cell>
        </row>
        <row r="574">
          <cell r="B574" t="str">
            <v>PAY ORDERS ISSUED</v>
          </cell>
          <cell r="D574" t="e">
            <v>#REF!</v>
          </cell>
        </row>
        <row r="575">
          <cell r="B575" t="str">
            <v>PAY SLIPS ISSUED</v>
          </cell>
          <cell r="D575" t="e">
            <v>#REF!</v>
          </cell>
        </row>
        <row r="576">
          <cell r="B576" t="str">
            <v>DEMAND DRAFTS PAYABLE</v>
          </cell>
          <cell r="D576" t="e">
            <v>#REF!</v>
          </cell>
        </row>
        <row r="577">
          <cell r="B577" t="str">
            <v>TELEGRAPHIC TRANSFERS</v>
          </cell>
          <cell r="D577" t="e">
            <v>#REF!</v>
          </cell>
        </row>
        <row r="578">
          <cell r="B578" t="str">
            <v>MAIL TRANSFER</v>
          </cell>
          <cell r="D578" t="e">
            <v>#REF!</v>
          </cell>
        </row>
        <row r="579">
          <cell r="B579" t="str">
            <v>FOREIGN MAIL TRANSFERS</v>
          </cell>
          <cell r="D579" t="e">
            <v>#REF!</v>
          </cell>
        </row>
        <row r="580">
          <cell r="B580" t="str">
            <v>B/P - HEAD OFFICE</v>
          </cell>
          <cell r="D580" t="e">
            <v>#REF!</v>
          </cell>
        </row>
        <row r="581">
          <cell r="B581" t="str">
            <v>ADJUSTING ACCOUNT CREDIT</v>
          </cell>
          <cell r="D581" t="e">
            <v>#REF!</v>
          </cell>
        </row>
        <row r="582">
          <cell r="D582" t="e">
            <v>#REF!</v>
          </cell>
        </row>
        <row r="583">
          <cell r="B583" t="str">
            <v>BORROWINGS FROM BANKS</v>
          </cell>
          <cell r="D583" t="e">
            <v>#REF!</v>
          </cell>
        </row>
        <row r="584">
          <cell r="B584" t="str">
            <v>BORROWINGS FROM BRANCHES</v>
          </cell>
          <cell r="D584" t="e">
            <v>#REF!</v>
          </cell>
        </row>
        <row r="585">
          <cell r="D585" t="e">
            <v>#REF!</v>
          </cell>
        </row>
        <row r="586">
          <cell r="B586" t="str">
            <v>OTHER LIABILITIES</v>
          </cell>
          <cell r="D586" t="e">
            <v>#REF!</v>
          </cell>
        </row>
        <row r="587">
          <cell r="B587" t="str">
            <v>-----------------</v>
          </cell>
          <cell r="D587" t="e">
            <v>#REF!</v>
          </cell>
        </row>
        <row r="588">
          <cell r="B588" t="str">
            <v>INTEREST ON CLASSIFIED ADVANCES</v>
          </cell>
          <cell r="D588" t="e">
            <v>#REF!</v>
          </cell>
        </row>
        <row r="589">
          <cell r="B589" t="str">
            <v>PROVISION FOR TAX</v>
          </cell>
          <cell r="D589" t="e">
            <v>#REF!</v>
          </cell>
        </row>
        <row r="590">
          <cell r="B590" t="str">
            <v>ACCMULATED DEPRECIATION ON F/F</v>
          </cell>
          <cell r="D590" t="e">
            <v>#REF!</v>
          </cell>
        </row>
        <row r="591">
          <cell r="B591" t="str">
            <v>OTHERS</v>
          </cell>
          <cell r="D591" t="e">
            <v>#REF!</v>
          </cell>
        </row>
        <row r="592">
          <cell r="B592" t="str">
            <v>CONTRA CASH ATM</v>
          </cell>
          <cell r="D592" t="e">
            <v>#REF!</v>
          </cell>
        </row>
        <row r="593">
          <cell r="B593" t="str">
            <v>PROV.FOR DIMUNATION VAL.</v>
          </cell>
          <cell r="D593" t="e">
            <v>#REF!</v>
          </cell>
        </row>
        <row r="594">
          <cell r="D594">
            <v>0</v>
          </cell>
        </row>
        <row r="595">
          <cell r="B595" t="str">
            <v>BALANCE OF LOCAL/OTHER BANKS</v>
          </cell>
          <cell r="D595" t="e">
            <v>#REF!</v>
          </cell>
        </row>
        <row r="596">
          <cell r="B596" t="str">
            <v>BALANCE OF FOREIGN BANKS</v>
          </cell>
          <cell r="D596" t="e">
            <v>#REF!</v>
          </cell>
        </row>
        <row r="597">
          <cell r="D597" t="e">
            <v>#REF!</v>
          </cell>
        </row>
        <row r="598">
          <cell r="B598" t="str">
            <v>BALANCE OF LOCAL UBL BRS.</v>
          </cell>
          <cell r="D598" t="e">
            <v>#REF!</v>
          </cell>
        </row>
        <row r="599">
          <cell r="B599" t="str">
            <v>BALANCE OF FOREIGN UBL BRS.</v>
          </cell>
          <cell r="D599" t="e">
            <v>#REF!</v>
          </cell>
        </row>
        <row r="600">
          <cell r="D600" t="e">
            <v>#REF!</v>
          </cell>
        </row>
        <row r="601">
          <cell r="B601" t="str">
            <v xml:space="preserve">C O N T R A </v>
          </cell>
          <cell r="D601" t="e">
            <v>#REF!</v>
          </cell>
        </row>
        <row r="602">
          <cell r="B602" t="str">
            <v>-----------</v>
          </cell>
          <cell r="D602" t="e">
            <v>#REF!</v>
          </cell>
        </row>
        <row r="603">
          <cell r="B603" t="str">
            <v>BILLS FOR COLLECTION</v>
          </cell>
          <cell r="D603" t="e">
            <v>#REF!</v>
          </cell>
        </row>
        <row r="604">
          <cell r="B604" t="str">
            <v>FOREIGN BILLS FOR COLLECTION</v>
          </cell>
          <cell r="D604" t="e">
            <v>#REF!</v>
          </cell>
        </row>
        <row r="605">
          <cell r="B605" t="str">
            <v>BANKER'S LIABILITY L.G.</v>
          </cell>
          <cell r="D605" t="e">
            <v>#REF!</v>
          </cell>
        </row>
        <row r="606">
          <cell r="B606" t="str">
            <v>BANKER'S LIABILITY L.C.</v>
          </cell>
          <cell r="D606" t="e">
            <v>#REF!</v>
          </cell>
        </row>
        <row r="607">
          <cell r="B607" t="str">
            <v>BANKER'S LIABILITY L.C.(GOVT.)</v>
          </cell>
          <cell r="D607" t="e">
            <v>#REF!</v>
          </cell>
        </row>
        <row r="608">
          <cell r="B608" t="str">
            <v>BANKER'S LIABILITY S.G.</v>
          </cell>
          <cell r="D608" t="e">
            <v>#REF!</v>
          </cell>
        </row>
        <row r="609">
          <cell r="D609" t="e">
            <v>#REF!</v>
          </cell>
        </row>
        <row r="610">
          <cell r="B610" t="str">
            <v>MAIN OFFICE ACCOUNT</v>
          </cell>
          <cell r="D610" t="e">
            <v>#REF!</v>
          </cell>
        </row>
        <row r="611">
          <cell r="D611" t="e">
            <v>#REF!</v>
          </cell>
        </row>
        <row r="612">
          <cell r="B612" t="str">
            <v>INCOME ACCOUNT</v>
          </cell>
          <cell r="D612" t="e">
            <v>#REF!</v>
          </cell>
        </row>
        <row r="613">
          <cell r="B613" t="str">
            <v>EXPENDITURE A/C. (CREDIT)</v>
          </cell>
          <cell r="D613" t="e">
            <v>#REF!</v>
          </cell>
        </row>
        <row r="614">
          <cell r="D614">
            <v>0</v>
          </cell>
        </row>
        <row r="615">
          <cell r="B615" t="str">
            <v>-</v>
          </cell>
          <cell r="D615" t="str">
            <v>-</v>
          </cell>
        </row>
        <row r="616">
          <cell r="B616" t="str">
            <v>TOTAL LIABILITIES</v>
          </cell>
          <cell r="D616" t="e">
            <v>#REF!</v>
          </cell>
        </row>
        <row r="617">
          <cell r="B617" t="str">
            <v>-</v>
          </cell>
          <cell r="D617" t="str">
            <v>-</v>
          </cell>
        </row>
        <row r="618">
          <cell r="B618" t="str">
            <v>LIABILITIES</v>
          </cell>
          <cell r="D618" t="e">
            <v>#REF!</v>
          </cell>
        </row>
        <row r="619">
          <cell r="B619" t="str">
            <v>-</v>
          </cell>
          <cell r="D619" t="str">
            <v>-</v>
          </cell>
        </row>
        <row r="620">
          <cell r="B620" t="str">
            <v>DIFFERENCE</v>
          </cell>
          <cell r="D620" t="e">
            <v>#REF!</v>
          </cell>
        </row>
        <row r="621">
          <cell r="B621" t="str">
            <v>-</v>
          </cell>
          <cell r="D621" t="str">
            <v>-</v>
          </cell>
        </row>
        <row r="622">
          <cell r="B622" t="str">
            <v>GROSS DEPOSITS</v>
          </cell>
          <cell r="D622" t="e">
            <v>#REF!</v>
          </cell>
        </row>
        <row r="623">
          <cell r="B623" t="str">
            <v>-</v>
          </cell>
          <cell r="D623" t="str">
            <v>-</v>
          </cell>
        </row>
        <row r="624">
          <cell r="B624" t="str">
            <v>INTER BRANCH DEPOSITS</v>
          </cell>
          <cell r="D624" t="e">
            <v>#REF!</v>
          </cell>
        </row>
        <row r="625">
          <cell r="B625" t="str">
            <v>NET DEPOSITS</v>
          </cell>
          <cell r="D625"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MAT-0303"/>
      <sheetName val="INDEX"/>
      <sheetName val="MAT-MANUAL"/>
      <sheetName val="DOMESTIC-AL"/>
      <sheetName val="BSDOMOVS"/>
      <sheetName val="Balance Sheet"/>
      <sheetName val="BSCOMBINED "/>
      <sheetName val="Note 1-7-A"/>
      <sheetName val="Note16-20-A"/>
      <sheetName val="Balance Sheet-A"/>
      <sheetName val="Profit&amp;Loss-Rev"/>
      <sheetName val="Profit&amp;Loss-Rev-A"/>
      <sheetName val="Cash flow-A"/>
      <sheetName val="Changes in equity-A"/>
      <sheetName val="Note 1-7"/>
      <sheetName val="Sheet1-A"/>
      <sheetName val="Note 8-11"/>
      <sheetName val="Note 8-11-A"/>
      <sheetName val="Note 12-15"/>
      <sheetName val="Note 12-15-A"/>
      <sheetName val="Note16-20"/>
      <sheetName val="Note16-20 (2)"/>
      <sheetName val="Note 21 - 23"/>
      <sheetName val="Note 10-10.1"/>
      <sheetName val="Note 10.2-10.7"/>
      <sheetName val="Note 11 - 12.1"/>
      <sheetName val="Note 16.2-18"/>
      <sheetName val="Note 22-23"/>
      <sheetName val="Note 28.1-30"/>
      <sheetName val="Note 37-38"/>
      <sheetName val="Note 24-A"/>
      <sheetName val="Note 24"/>
      <sheetName val="Note 25"/>
      <sheetName val="Note 25-A"/>
      <sheetName val="Note 26 "/>
      <sheetName val="Note 26-A"/>
      <sheetName val="Note 27"/>
      <sheetName val="Note 28"/>
      <sheetName val="Note 28-A"/>
      <sheetName val="Note 29-30"/>
      <sheetName val="Contingencies-A"/>
      <sheetName val="Note 42.2-44"/>
      <sheetName val="Sheet2"/>
      <sheetName val="last qrt2001"/>
      <sheetName val="BS-OVS"/>
      <sheetName val="Adj-Note"/>
      <sheetName val="Balance_Sheet"/>
      <sheetName val="BSCOMBINED_"/>
      <sheetName val="Note_1-7-A"/>
      <sheetName val="Balance_Sheet-A"/>
      <sheetName val="Cash_flow-A"/>
      <sheetName val="Changes_in_equity-A"/>
      <sheetName val="Note_1-7"/>
      <sheetName val="Note_8-11"/>
      <sheetName val="Note_8-11-A"/>
      <sheetName val="Note_12-15"/>
      <sheetName val="Note_12-15-A"/>
      <sheetName val="Note16-20_(2)"/>
      <sheetName val="Note_21_-_23"/>
      <sheetName val="Note_10-10_1"/>
      <sheetName val="Note_10_2-10_7"/>
      <sheetName val="Note_11_-_12_1"/>
      <sheetName val="Note_16_2-18"/>
      <sheetName val="Note_22-23"/>
      <sheetName val="Note_28_1-30"/>
      <sheetName val="Note_37-38"/>
      <sheetName val="Note_24-A"/>
      <sheetName val="Note_24"/>
      <sheetName val="Note_25"/>
      <sheetName val="Note_25-A"/>
      <sheetName val="Note_26_"/>
      <sheetName val="Note_26-A"/>
      <sheetName val="Note_27"/>
      <sheetName val="Note_28"/>
      <sheetName val="Note_28-A"/>
      <sheetName val="Note_29-30"/>
      <sheetName val="Note_42_2-44"/>
      <sheetName val="Balance_Sheet1"/>
      <sheetName val="BSCOMBINED_1"/>
      <sheetName val="Note_1-7-A1"/>
      <sheetName val="Balance_Sheet-A1"/>
      <sheetName val="Cash_flow-A1"/>
      <sheetName val="Changes_in_equity-A1"/>
      <sheetName val="Note_1-71"/>
      <sheetName val="Note_8-111"/>
      <sheetName val="Note_8-11-A1"/>
      <sheetName val="Note_12-151"/>
      <sheetName val="Note_12-15-A1"/>
      <sheetName val="Note16-20_(2)1"/>
      <sheetName val="Note_21_-_231"/>
      <sheetName val="Note_10-10_11"/>
      <sheetName val="Note_10_2-10_71"/>
      <sheetName val="Note_11_-_12_11"/>
      <sheetName val="Note_16_2-181"/>
      <sheetName val="Note_22-231"/>
      <sheetName val="Note_28_1-301"/>
      <sheetName val="Note_37-381"/>
      <sheetName val="Note_24-A1"/>
      <sheetName val="Note_241"/>
      <sheetName val="Note_251"/>
      <sheetName val="Note_25-A1"/>
      <sheetName val="Note_26_1"/>
      <sheetName val="Note_26-A1"/>
      <sheetName val="Note_271"/>
      <sheetName val="Note_281"/>
      <sheetName val="Note_28-A1"/>
      <sheetName val="Note_29-301"/>
      <sheetName val="Note_42_2-441"/>
      <sheetName val="December 06"/>
      <sheetName val="November 06"/>
      <sheetName val="Code"/>
      <sheetName val="PKRV"/>
      <sheetName val="FEb"/>
      <sheetName val="Lookups"/>
      <sheetName val="Implied Rate"/>
      <sheetName val="Data-922"/>
      <sheetName val="Sheet4"/>
      <sheetName val="FX"/>
      <sheetName val="Parameters"/>
      <sheetName val="BAHRAIN"/>
      <sheetName val="DD110"/>
      <sheetName val="O.Profit(aferalloc)"/>
      <sheetName val="Ranges"/>
      <sheetName val="A-C CODE &amp; NAME"/>
      <sheetName val="Macro1"/>
      <sheetName val="DISTRIBUTION"/>
      <sheetName val="SUMMARY"/>
      <sheetName val="A"/>
      <sheetName val="Adj"/>
      <sheetName val="El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ILLS"/>
      <sheetName val="FIB"/>
      <sheetName val="PIB"/>
      <sheetName val="OPENING"/>
      <sheetName val="CALL"/>
      <sheetName val="Sheet1"/>
      <sheetName val="Module1"/>
      <sheetName val="Module2"/>
      <sheetName val="Module3"/>
      <sheetName val="Module4"/>
      <sheetName val="Module5"/>
      <sheetName val="Module6"/>
      <sheetName val="Module7"/>
    </sheetNames>
    <sheetDataSet>
      <sheetData sheetId="0">
        <row r="3">
          <cell r="A3" t="str">
            <v>HMB</v>
          </cell>
          <cell r="C3" t="str">
            <v>r</v>
          </cell>
        </row>
        <row r="4">
          <cell r="A4" t="str">
            <v>ABL</v>
          </cell>
        </row>
        <row r="5">
          <cell r="A5" t="str">
            <v>T/BILLS PRICE CALCULATION FOR R.REPO/ REPO</v>
          </cell>
        </row>
        <row r="6">
          <cell r="A6" t="str">
            <v>Thursday</v>
          </cell>
          <cell r="B6">
            <v>0</v>
          </cell>
          <cell r="E6">
            <v>0</v>
          </cell>
        </row>
        <row r="7">
          <cell r="A7" t="str">
            <v>MATURITY OF BILL</v>
          </cell>
          <cell r="B7">
            <v>39394</v>
          </cell>
          <cell r="D7" t="str">
            <v xml:space="preserve">MAT DATE </v>
          </cell>
          <cell r="E7">
            <v>39290</v>
          </cell>
        </row>
        <row r="8">
          <cell r="A8" t="str">
            <v>BILL ISSUE DATE</v>
          </cell>
          <cell r="B8">
            <v>39031</v>
          </cell>
          <cell r="D8" t="str">
            <v>BROKER</v>
          </cell>
          <cell r="E8" t="str">
            <v>bsjs</v>
          </cell>
        </row>
        <row r="9">
          <cell r="A9" t="str">
            <v>NO. OF DAYS</v>
          </cell>
          <cell r="B9">
            <v>363</v>
          </cell>
          <cell r="D9" t="str">
            <v xml:space="preserve">             </v>
          </cell>
        </row>
        <row r="10">
          <cell r="A10" t="str">
            <v>VALUE DATE</v>
          </cell>
          <cell r="B10">
            <v>39289</v>
          </cell>
        </row>
        <row r="11">
          <cell r="A11" t="str">
            <v>DAYS TO MATURITY</v>
          </cell>
          <cell r="B11">
            <v>105</v>
          </cell>
          <cell r="D11" t="str">
            <v>AMOUNT</v>
          </cell>
          <cell r="E11">
            <v>500</v>
          </cell>
          <cell r="F11">
            <v>0</v>
          </cell>
        </row>
        <row r="12">
          <cell r="A12" t="str">
            <v>REVAL RATE'S</v>
          </cell>
          <cell r="B12">
            <v>8.8700000000000001E-2</v>
          </cell>
          <cell r="E12" t="str">
            <v>(In Millions)</v>
          </cell>
        </row>
        <row r="13">
          <cell r="A13" t="str">
            <v>DEAL RATE/ YIELD</v>
          </cell>
          <cell r="B13">
            <v>8.2500000000000004E-2</v>
          </cell>
        </row>
        <row r="14">
          <cell r="A14" t="str">
            <v>BASE PRICE</v>
          </cell>
          <cell r="B14">
            <v>97.511799999999994</v>
          </cell>
          <cell r="D14" t="str">
            <v>BASE AMT.</v>
          </cell>
          <cell r="E14">
            <v>487559000</v>
          </cell>
        </row>
        <row r="15">
          <cell r="A15" t="str">
            <v>DAYS OF R.REPO/REPO</v>
          </cell>
          <cell r="B15">
            <v>1</v>
          </cell>
        </row>
        <row r="16">
          <cell r="A16" t="str">
            <v>REPO PRICE</v>
          </cell>
          <cell r="B16">
            <v>97.533799999999999</v>
          </cell>
          <cell r="D16" t="str">
            <v>REPO AMT</v>
          </cell>
          <cell r="E16">
            <v>487669000</v>
          </cell>
        </row>
        <row r="18">
          <cell r="A18" t="str">
            <v>Inputting Yield</v>
          </cell>
          <cell r="B18">
            <v>8.2349008017491218E-2</v>
          </cell>
          <cell r="D18" t="str">
            <v>Interest</v>
          </cell>
          <cell r="E18">
            <v>110000</v>
          </cell>
        </row>
        <row r="19">
          <cell r="A19" t="str">
            <v>Brokerage at rate of .0225%</v>
          </cell>
          <cell r="B19">
            <v>434</v>
          </cell>
          <cell r="D19">
            <v>434</v>
          </cell>
          <cell r="E19">
            <v>0</v>
          </cell>
        </row>
        <row r="20">
          <cell r="A20" t="str">
            <v>Brokerage at rate of .01%</v>
          </cell>
          <cell r="B20">
            <v>134</v>
          </cell>
          <cell r="D20">
            <v>134</v>
          </cell>
        </row>
        <row r="21">
          <cell r="A21" t="str">
            <v>Brokerage at rate of .05%</v>
          </cell>
          <cell r="B21">
            <v>67</v>
          </cell>
          <cell r="D21">
            <v>67</v>
          </cell>
        </row>
      </sheetData>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M"/>
      <sheetName val="fixd assts dspsl Note16.1"/>
      <sheetName val="consolidatednew"/>
      <sheetName val="consolidated"/>
      <sheetName val="topsheet"/>
      <sheetName val="stats-add"/>
      <sheetName val="stats-del"/>
      <sheetName val="depglobal"/>
      <sheetName val="depglobalMM"/>
      <sheetName val="depglobalMM (2)"/>
      <sheetName val="EffectiveRate"/>
      <sheetName val="vouchingvehicles"/>
      <sheetName val="vouchingcomp"/>
      <sheetName val="vouchingoffeqp"/>
      <sheetName val="vouchingfurniture"/>
      <sheetName val="vouchingdel (4)"/>
      <sheetName val="vouchingdel (3)"/>
      <sheetName val="vouchingdel (5)"/>
      <sheetName val="INCOME 2004"/>
      <sheetName val="PURCHASES2004"/>
      <sheetName val="Trading summary - March 06"/>
      <sheetName val="ورقة2"/>
      <sheetName val="Wstat 96"/>
      <sheetName val="2000_ Projects Summary"/>
      <sheetName val="fixd_assts_dspsl_Note16_1"/>
      <sheetName val="depglobalMM_(2)"/>
      <sheetName val="vouchingdel_(4)"/>
      <sheetName val="vouchingdel_(3)"/>
      <sheetName val="vouchingdel_(5)"/>
      <sheetName val="INCOME_2004"/>
      <sheetName val="Trading_summary_-_March_06"/>
      <sheetName val="Wstat_96"/>
      <sheetName val="2000__Projects_Summary"/>
      <sheetName val="3 cash flow working"/>
      <sheetName val="Links"/>
      <sheetName val="CURRENT 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pinex (2)"/>
      <sheetName val="Assets (2)"/>
      <sheetName val="Balance Sheet"/>
      <sheetName val="p&amp;l"/>
      <sheetName val="CashFlow"/>
      <sheetName val="Statement of Ch"/>
      <sheetName val="Notes1-5"/>
      <sheetName val="Note6-8.2"/>
      <sheetName val="Note9-9.6"/>
      <sheetName val="Note 9.7-9.8"/>
      <sheetName val="Notes10-10.4.2"/>
      <sheetName val="10.5-11.3"/>
      <sheetName val="Note 12"/>
      <sheetName val="Note12.3-15.1"/>
      <sheetName val="Note16-21.1"/>
      <sheetName val="Note22-22.7"/>
      <sheetName val="pinex"/>
      <sheetName val="Notes25-26.1"/>
      <sheetName val="Notes26.2-32"/>
      <sheetName val="Notes33-34"/>
      <sheetName val="Notes39-40"/>
      <sheetName val="Notes41-42.1"/>
      <sheetName val="Notes41-42.1 (2)"/>
      <sheetName val="Notes42.2-44"/>
      <sheetName val="Note 45"/>
      <sheetName val="Annexure"/>
      <sheetName val="affair"/>
      <sheetName val="inc-exp"/>
      <sheetName val="Currency-expo"/>
      <sheetName val="YieldAd"/>
      <sheetName val="YieldAd-net"/>
      <sheetName val="MaturLiabili"/>
      <sheetName val="MaturiAssets"/>
      <sheetName val="YielDeposit"/>
      <sheetName val="Sheet1"/>
      <sheetName val="Sheet2"/>
      <sheetName val="Sheet3"/>
      <sheetName val="Notes(New)39-40"/>
      <sheetName val="Sheet6"/>
      <sheetName val="Deferred (2)"/>
      <sheetName val="Taxrelief"/>
      <sheetName val="OLD"/>
      <sheetName val="Assets"/>
      <sheetName val="Sheet4"/>
      <sheetName val="Defeered Work"/>
      <sheetName val="Liabiliteis"/>
      <sheetName val="Sheet2 (2)"/>
      <sheetName val="Sheet3 (2)"/>
      <sheetName val="Chart1"/>
      <sheetName val="Sheet1 (2)"/>
      <sheetName val="Lease"/>
      <sheetName val="Total Adjustments"/>
      <sheetName val="PremiumMaturity"/>
      <sheetName val="NEWAD"/>
      <sheetName val="Notes1_5"/>
      <sheetName val="Assignmentform"/>
      <sheetName val="Liquidity"/>
      <sheetName val="PNSC"/>
      <sheetName val="CFR-5"/>
      <sheetName val="Links"/>
      <sheetName val="Rate Input"/>
      <sheetName val="Profit Worksheet"/>
      <sheetName val="SHF-1026-EXP"/>
      <sheetName val="SITE-1001-P&amp;L"/>
      <sheetName val="CLM-1012-P&amp;L"/>
      <sheetName val="SHF-1026-P&amp;L"/>
      <sheetName val="KRG-1002-P&amp;L"/>
      <sheetName val="MAIN-1003-P&amp;L"/>
      <sheetName val="KSE-1010-P&amp;L"/>
      <sheetName val="JODIA-1011-P&amp;L"/>
      <sheetName val="JODIA-1011-EXP"/>
      <sheetName val="CLM-1012-EXP"/>
      <sheetName val="SITE-1001-EXP"/>
      <sheetName val="KRG-1002-EXP"/>
      <sheetName val="MAIN-1003-EXP"/>
      <sheetName val="nt²"/>
      <sheetName val="nt__2"/>
      <sheetName val="nt__3"/>
      <sheetName val="nt__4"/>
      <sheetName val="A"/>
      <sheetName val="CliftonMain-1003-P&amp;L"/>
      <sheetName val="CliftonMain-1003-EXP"/>
      <sheetName val="SALARY"/>
      <sheetName val="Parameters"/>
      <sheetName val="broker sheet-2"/>
      <sheetName val="pinex_(2)"/>
      <sheetName val="Assets_(2)"/>
      <sheetName val="Balance_Sheet"/>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Notes41-42_1"/>
      <sheetName val="Notes41-42_1_(2)"/>
      <sheetName val="Notes42_2-44"/>
      <sheetName val="Note_45"/>
      <sheetName val="Deferred_(2)"/>
      <sheetName val="Defeered_Work"/>
      <sheetName val="Sheet2_(2)"/>
      <sheetName val="Sheet3_(2)"/>
      <sheetName val="Sheet1_(2)"/>
      <sheetName val="Total_Adjustments"/>
      <sheetName val="Rate_Input"/>
      <sheetName val="Profit_Worksheet"/>
      <sheetName val="acct"/>
      <sheetName val="pinex_(2)1"/>
      <sheetName val="Assets_(2)1"/>
      <sheetName val="Balance_Sheet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Notes41-42_11"/>
      <sheetName val="Notes41-42_1_(2)1"/>
      <sheetName val="Notes42_2-441"/>
      <sheetName val="Note_451"/>
      <sheetName val="Deferred_(2)1"/>
      <sheetName val="Defeered_Work1"/>
      <sheetName val="Sheet2_(2)1"/>
      <sheetName val="Sheet3_(2)1"/>
      <sheetName val="Sheet1_(2)1"/>
      <sheetName val="Total_Adjustments1"/>
      <sheetName val="Rate_Input1"/>
      <sheetName val="Profit_Worksheet1"/>
      <sheetName val="SOURCE"/>
      <sheetName val="Note1_11"/>
      <sheetName val="PDF1"/>
      <sheetName val="2000_ Projects Summary"/>
      <sheetName val="Notes _2_"/>
      <sheetName val="PL_Million_"/>
      <sheetName val="Fin_Histo_PL"/>
      <sheetName val="Deposit"/>
      <sheetName val="Non-Statistical Sampling"/>
      <sheetName val="REV VAR INC"/>
      <sheetName val="Sheet5"/>
      <sheetName val="Augbkp98"/>
      <sheetName val="Statement of Claims"/>
      <sheetName val="Revenue-Fire-Marine-Motor"/>
      <sheetName val="Graphs 1"/>
      <sheetName val="Macro1"/>
      <sheetName val="Summary"/>
      <sheetName val="Grouping"/>
      <sheetName val="pinex_(2)2"/>
      <sheetName val="Assets_(2)2"/>
      <sheetName val="Balance_Sheet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Notes41-42_12"/>
      <sheetName val="Notes41-42_1_(2)2"/>
      <sheetName val="Notes42_2-442"/>
      <sheetName val="Note_452"/>
      <sheetName val="Deferred_(2)2"/>
      <sheetName val="Defeered_Work2"/>
      <sheetName val="Sheet2_(2)2"/>
      <sheetName val="Sheet3_(2)2"/>
      <sheetName val="Sheet1_(2)2"/>
      <sheetName val="Total_Adjustments2"/>
      <sheetName val="Rate_Input2"/>
      <sheetName val="Profit_Worksheet2"/>
      <sheetName val="broker_sheet-2"/>
      <sheetName val="Notes__2_"/>
      <sheetName val="2000__Projects_Summary"/>
      <sheetName val="Non-Statistical_Sampling"/>
      <sheetName val="REV_VAR_INC"/>
      <sheetName val="Statement_of_Claims"/>
      <sheetName val="Report .1"/>
      <sheetName val="Final Accounts 2001As per Audit"/>
      <sheetName val="Net"/>
      <sheetName val="Profiles"/>
      <sheetName val="Currency"/>
      <sheetName val="DropDown"/>
      <sheetName val="Segment new 1"/>
      <sheetName val="Drop down"/>
      <sheetName val="16-Avg Sales Price"/>
      <sheetName val="stdd costBPCS"/>
      <sheetName val="ៀFinal Accou"/>
      <sheetName val="ḜFinal Accou"/>
      <sheetName val="⒐Final Accou"/>
      <sheetName val="nt__5"/>
      <sheetName val="nt__6"/>
      <sheetName val="nt__7"/>
      <sheetName val="nt__8"/>
      <sheetName val="nt__9"/>
      <sheetName val="DATABASE"/>
      <sheetName val="A-C CODE &amp; NAME"/>
      <sheetName val="Code"/>
      <sheetName val="Abu Dhabi"/>
      <sheetName val="B-S(p)"/>
      <sheetName val="BS-OVS"/>
      <sheetName val="BSDOMOVS"/>
      <sheetName val="PPC-ORD DTL"/>
      <sheetName val="会社別"/>
      <sheetName val="Lead"/>
      <sheetName val="Note Line"/>
      <sheetName val="SETUP"/>
      <sheetName val="pinex_(2)3"/>
      <sheetName val="Assets_(2)3"/>
      <sheetName val="Balance_Sheet3"/>
      <sheetName val="Statement_of_Ch3"/>
      <sheetName val="Note6-8_23"/>
      <sheetName val="Note9-9_63"/>
      <sheetName val="Note_9_7-9_83"/>
      <sheetName val="Notes10-10_4_23"/>
      <sheetName val="10_5-11_33"/>
      <sheetName val="Note_123"/>
      <sheetName val="Note12_3-15_13"/>
      <sheetName val="Note16-21_13"/>
      <sheetName val="Note22-22_73"/>
      <sheetName val="Notes25-26_13"/>
      <sheetName val="Notes26_2-323"/>
      <sheetName val="Notes41-42_13"/>
      <sheetName val="Notes41-42_1_(2)3"/>
      <sheetName val="Notes42_2-443"/>
      <sheetName val="Note_453"/>
      <sheetName val="Deferred_(2)3"/>
      <sheetName val="Defeered_Work3"/>
      <sheetName val="Sheet2_(2)3"/>
      <sheetName val="Sheet3_(2)3"/>
      <sheetName val="Sheet1_(2)3"/>
      <sheetName val="Total_Adjustments3"/>
      <sheetName val="Rate_Input3"/>
      <sheetName val="Profit_Worksheet3"/>
      <sheetName val="broker_sheet-21"/>
      <sheetName val="Notes__2_1"/>
      <sheetName val="2000__Projects_Summary1"/>
      <sheetName val="Non-Statistical_Sampling1"/>
      <sheetName val="REV_VAR_INC1"/>
      <sheetName val="Statement_of_Claims1"/>
      <sheetName val="Graphs_1"/>
      <sheetName val="Final_Accounts_2001As_per_Audit"/>
      <sheetName val="Report__1"/>
      <sheetName val="Segment_new_1"/>
      <sheetName val="Drop_down"/>
      <sheetName val="16-Avg_Sales_Price"/>
      <sheetName val="stdd_costBPCS"/>
      <sheetName val="P &amp; L"/>
      <sheetName val="New Employee"/>
      <sheetName val="Finance Cost Top Sheet"/>
      <sheetName val="Payroll Costs"/>
      <sheetName val="Neat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abilities-New"/>
      <sheetName val="Liabiliteis"/>
      <sheetName val="AssetsNew"/>
      <sheetName val="Assets"/>
      <sheetName val="Notes7-8 (2)"/>
      <sheetName val="Note 9.7-9.8 (2)"/>
      <sheetName val="Investment"/>
      <sheetName val="Sheet2"/>
      <sheetName val="SBP-Staggering"/>
      <sheetName val="summary"/>
      <sheetName val="Balancesheet"/>
      <sheetName val="P&amp;L"/>
      <sheetName val="CashFlow"/>
      <sheetName val="Stat-Equity"/>
      <sheetName val="Other Assets Notes"/>
      <sheetName val="Notes1-5"/>
      <sheetName val="Notes 1-6 (2)"/>
      <sheetName val="Investment (2)"/>
      <sheetName val="Notes1-2"/>
      <sheetName val="Notes 1-6"/>
      <sheetName val="Notes7-8"/>
      <sheetName val="Notes 9-10"/>
      <sheetName val="Notes10.1"/>
      <sheetName val="Sheet5"/>
      <sheetName val="notes 5-6000"/>
      <sheetName val="BS"/>
      <sheetName val="A"/>
      <sheetName val="Input_Operating"/>
      <sheetName val="Liquidity"/>
      <sheetName val="Code"/>
      <sheetName val="A-C CODE &amp; NAME"/>
      <sheetName val="PDF1"/>
      <sheetName val="Notes1_5"/>
      <sheetName val="CFR-5"/>
      <sheetName val="Links"/>
      <sheetName val="SHF-1026-EXP"/>
      <sheetName val="SITE-1001-P&amp;L"/>
      <sheetName val="CLM-1012-P&amp;L"/>
      <sheetName val="SHF-1026-P&amp;L"/>
      <sheetName val="KRG-1002-P&amp;L"/>
      <sheetName val="CliftonMain-1003-P&amp;L"/>
      <sheetName val="KSE-1010-P&amp;L"/>
      <sheetName val="JODIA-1011-P&amp;L"/>
      <sheetName val="JODIA-1011-EXP"/>
      <sheetName val="CLM-1012-EXP"/>
      <sheetName val="SITE-1001-EXP"/>
      <sheetName val="KRG-1002-EXP"/>
      <sheetName val="CliftonMain-1003-EXP"/>
      <sheetName val="Notes7-8_(2)"/>
      <sheetName val="Note_9_7-9_8_(2)"/>
      <sheetName val="Other_Assets_Notes"/>
      <sheetName val="Notes_1-6_(2)"/>
      <sheetName val="Investment_(2)"/>
      <sheetName val="Notes_1-6"/>
      <sheetName val="Notes_9-10"/>
      <sheetName val="Notes10_1"/>
      <sheetName val="notes_5-6000"/>
      <sheetName val="A-C_CODE_&amp;_NAME"/>
      <sheetName val="Notes _2_"/>
      <sheetName val="PL_Million_"/>
      <sheetName val="Fin_Histo_PL"/>
      <sheetName val="Non-Statistical Sampling"/>
      <sheetName val="General"/>
      <sheetName val="P&amp;L Commentary"/>
      <sheetName val="Consolidated"/>
      <sheetName val="TABLES"/>
      <sheetName val="PLC"/>
      <sheetName val="Notes7-8_(2)1"/>
      <sheetName val="Note_9_7-9_8_(2)1"/>
      <sheetName val="Other_Assets_Notes1"/>
      <sheetName val="Notes_1-6_(2)1"/>
      <sheetName val="Investment_(2)1"/>
      <sheetName val="Notes_1-61"/>
      <sheetName val="Notes_9-101"/>
      <sheetName val="Notes10_11"/>
      <sheetName val="notes_5-60001"/>
      <sheetName val="A-C_CODE_&amp;_NAME1"/>
      <sheetName val="Notes__2_"/>
      <sheetName val="Non-Statistical_Sampling"/>
      <sheetName val="Rates"/>
      <sheetName val="NST ( Cap Gain)"/>
      <sheetName val="BSDOMOVS"/>
      <sheetName val="Notes7-8_(2)3"/>
      <sheetName val="Note_9_7-9_8_(2)3"/>
      <sheetName val="Other_Assets_Notes3"/>
      <sheetName val="Notes_1-6_(2)3"/>
      <sheetName val="Investment_(2)3"/>
      <sheetName val="Notes_1-63"/>
      <sheetName val="Notes_9-103"/>
      <sheetName val="Notes10_13"/>
      <sheetName val="notes_5-60003"/>
      <sheetName val="A-C_CODE_&amp;_NAME3"/>
      <sheetName val="Notes7-8_(2)2"/>
      <sheetName val="Note_9_7-9_8_(2)2"/>
      <sheetName val="Other_Assets_Notes2"/>
      <sheetName val="Notes_1-6_(2)2"/>
      <sheetName val="Investment_(2)2"/>
      <sheetName val="Notes_1-62"/>
      <sheetName val="Notes_9-102"/>
      <sheetName val="Notes10_12"/>
      <sheetName val="notes_5-60002"/>
      <sheetName val="A-C_CODE_&amp;_NAME2"/>
      <sheetName val="Lead Schedule"/>
      <sheetName val="Sheet3"/>
      <sheetName val="Institutions List"/>
      <sheetName val="Stat. Changes Equity"/>
      <sheetName val="Notes 7 - 23"/>
      <sheetName val="E"/>
      <sheetName val="Notes__2_1"/>
      <sheetName val="P&amp;L_Commentary"/>
      <sheetName val="Non-Statistical_Sampling1"/>
      <sheetName val="SOURCE"/>
      <sheetName val="UK"/>
      <sheetName val="New Employee"/>
      <sheetName val="NED09-10 SW"/>
      <sheetName val="Lead"/>
      <sheetName val="Support"/>
      <sheetName val="revenue-fire-marine-motor"/>
      <sheetName val="navlun_cetveli"/>
      <sheetName val="INIT"/>
      <sheetName val="Notes7-8_(2)4"/>
      <sheetName val="Note_9_7-9_8_(2)4"/>
      <sheetName val="Other_Assets_Notes4"/>
      <sheetName val="Notes_1-6_(2)4"/>
      <sheetName val="Investment_(2)4"/>
      <sheetName val="Notes_1-64"/>
      <sheetName val="Notes_9-104"/>
      <sheetName val="Notes10_14"/>
      <sheetName val="notes_5-60004"/>
      <sheetName val="A-C_CODE_&amp;_NAME4"/>
      <sheetName val="NST_(_Cap_Gain)"/>
      <sheetName val="Lead_Schedule"/>
      <sheetName val="RiskSim Summary 1"/>
      <sheetName val="Sheet4"/>
      <sheetName val="P&amp; L"/>
      <sheetName val="Non-Statistical Sampling Master"/>
      <sheetName val="Two Step Revenue Testing Master"/>
      <sheetName val="Global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7">
          <cell r="AX7">
            <v>1346063.09</v>
          </cell>
        </row>
        <row r="8">
          <cell r="AX8">
            <v>-1270.28</v>
          </cell>
        </row>
        <row r="9">
          <cell r="AX9">
            <v>18843861.66</v>
          </cell>
        </row>
        <row r="10">
          <cell r="AX10">
            <v>51230813.909999996</v>
          </cell>
        </row>
        <row r="11">
          <cell r="AX11">
            <v>2751832.22</v>
          </cell>
        </row>
        <row r="12">
          <cell r="AX12">
            <v>-186068.71</v>
          </cell>
        </row>
        <row r="13">
          <cell r="AX13">
            <v>2850010.03</v>
          </cell>
        </row>
        <row r="14">
          <cell r="AX14">
            <v>0</v>
          </cell>
        </row>
        <row r="15">
          <cell r="AX15">
            <v>-25061.99</v>
          </cell>
        </row>
        <row r="16">
          <cell r="AX16">
            <v>76810179.930000007</v>
          </cell>
        </row>
        <row r="17">
          <cell r="AX17">
            <v>1702084.59</v>
          </cell>
        </row>
        <row r="18">
          <cell r="AX18">
            <v>1162777.6599999999</v>
          </cell>
        </row>
        <row r="19">
          <cell r="AX19">
            <v>79675042.180000007</v>
          </cell>
        </row>
        <row r="20">
          <cell r="AX20">
            <v>-1145960.1499999999</v>
          </cell>
        </row>
        <row r="21">
          <cell r="AX21">
            <v>581217.23</v>
          </cell>
        </row>
        <row r="22">
          <cell r="AX22">
            <v>76175</v>
          </cell>
        </row>
        <row r="23">
          <cell r="AX23">
            <v>5839615</v>
          </cell>
        </row>
        <row r="24">
          <cell r="AX24">
            <v>100869011</v>
          </cell>
        </row>
        <row r="25">
          <cell r="AX25">
            <v>106220058.08</v>
          </cell>
        </row>
        <row r="26">
          <cell r="AX26">
            <v>0</v>
          </cell>
        </row>
        <row r="27">
          <cell r="AX27">
            <v>13188041</v>
          </cell>
        </row>
        <row r="28">
          <cell r="AX28">
            <v>391476</v>
          </cell>
        </row>
        <row r="29">
          <cell r="AX29">
            <v>283891</v>
          </cell>
        </row>
        <row r="30">
          <cell r="AX30">
            <v>360280</v>
          </cell>
        </row>
        <row r="31">
          <cell r="AX31">
            <v>2691316</v>
          </cell>
        </row>
        <row r="32">
          <cell r="AX32">
            <v>385700</v>
          </cell>
        </row>
        <row r="33">
          <cell r="AX33">
            <v>3300444</v>
          </cell>
        </row>
        <row r="34">
          <cell r="AX34">
            <v>0</v>
          </cell>
        </row>
        <row r="35">
          <cell r="AX35">
            <v>0</v>
          </cell>
        </row>
        <row r="36">
          <cell r="AX36">
            <v>0</v>
          </cell>
        </row>
        <row r="37">
          <cell r="AX37">
            <v>20601148</v>
          </cell>
        </row>
        <row r="38">
          <cell r="AX38">
            <v>0</v>
          </cell>
        </row>
        <row r="39">
          <cell r="AX39">
            <v>365044.5</v>
          </cell>
        </row>
        <row r="40">
          <cell r="AX40">
            <v>0</v>
          </cell>
        </row>
        <row r="41">
          <cell r="AX41">
            <v>1022753</v>
          </cell>
        </row>
        <row r="42">
          <cell r="AX42">
            <v>40514</v>
          </cell>
        </row>
        <row r="43">
          <cell r="AX43">
            <v>650</v>
          </cell>
        </row>
        <row r="44">
          <cell r="AX44">
            <v>40500</v>
          </cell>
        </row>
        <row r="45">
          <cell r="AX45">
            <v>0</v>
          </cell>
        </row>
        <row r="46">
          <cell r="AX46">
            <v>0</v>
          </cell>
        </row>
        <row r="47">
          <cell r="AX47">
            <v>3342</v>
          </cell>
        </row>
        <row r="48">
          <cell r="AX48">
            <v>15490</v>
          </cell>
        </row>
        <row r="49">
          <cell r="AX49">
            <v>77016</v>
          </cell>
        </row>
        <row r="50">
          <cell r="AX50">
            <v>664789</v>
          </cell>
        </row>
        <row r="51">
          <cell r="AX51">
            <v>64600</v>
          </cell>
        </row>
        <row r="52">
          <cell r="AX52">
            <v>0</v>
          </cell>
        </row>
        <row r="53">
          <cell r="AX53">
            <v>2294698.5</v>
          </cell>
        </row>
        <row r="54">
          <cell r="AX54">
            <v>0</v>
          </cell>
        </row>
        <row r="55">
          <cell r="AX55">
            <v>3801469</v>
          </cell>
        </row>
        <row r="56">
          <cell r="AX56">
            <v>1134855</v>
          </cell>
        </row>
        <row r="57">
          <cell r="AX57">
            <v>324127</v>
          </cell>
        </row>
        <row r="58">
          <cell r="AX58">
            <v>332579</v>
          </cell>
        </row>
        <row r="59">
          <cell r="AX59">
            <v>17817</v>
          </cell>
        </row>
        <row r="60">
          <cell r="AX60">
            <v>7950</v>
          </cell>
        </row>
        <row r="61">
          <cell r="AX61">
            <v>339900</v>
          </cell>
        </row>
        <row r="62">
          <cell r="AX62">
            <v>5958697</v>
          </cell>
        </row>
        <row r="70">
          <cell r="AX70">
            <v>1298551</v>
          </cell>
        </row>
        <row r="71">
          <cell r="AX71">
            <v>161339</v>
          </cell>
        </row>
        <row r="72">
          <cell r="AX72">
            <v>155390</v>
          </cell>
        </row>
        <row r="73">
          <cell r="AX73">
            <v>412665.9</v>
          </cell>
        </row>
        <row r="74">
          <cell r="AX74">
            <v>2027945.9</v>
          </cell>
        </row>
        <row r="76">
          <cell r="AX76">
            <v>143130.54999999999</v>
          </cell>
        </row>
        <row r="77">
          <cell r="AX77">
            <v>730109</v>
          </cell>
        </row>
        <row r="78">
          <cell r="AX78">
            <v>151700</v>
          </cell>
        </row>
        <row r="79">
          <cell r="AX79">
            <v>1024939.55</v>
          </cell>
        </row>
        <row r="80">
          <cell r="AX80">
            <v>0</v>
          </cell>
        </row>
        <row r="81">
          <cell r="AX81">
            <v>127801</v>
          </cell>
        </row>
        <row r="82">
          <cell r="AX82">
            <v>239418.7</v>
          </cell>
        </row>
        <row r="83">
          <cell r="AX83">
            <v>400152</v>
          </cell>
        </row>
        <row r="84">
          <cell r="AX84">
            <v>80422</v>
          </cell>
        </row>
        <row r="85">
          <cell r="AX85">
            <v>545736</v>
          </cell>
        </row>
        <row r="86">
          <cell r="AX86">
            <v>0</v>
          </cell>
        </row>
        <row r="87">
          <cell r="AX87">
            <v>231877</v>
          </cell>
        </row>
        <row r="88">
          <cell r="AX88">
            <v>739465.6</v>
          </cell>
        </row>
        <row r="89">
          <cell r="AX89">
            <v>45042</v>
          </cell>
        </row>
        <row r="90">
          <cell r="AX90">
            <v>396160.5</v>
          </cell>
        </row>
        <row r="91">
          <cell r="AX91">
            <v>0</v>
          </cell>
        </row>
        <row r="92">
          <cell r="AX92">
            <v>24055.68</v>
          </cell>
        </row>
        <row r="93">
          <cell r="AX93">
            <v>574252</v>
          </cell>
        </row>
        <row r="94">
          <cell r="AX94">
            <v>82254</v>
          </cell>
        </row>
        <row r="95">
          <cell r="AX95">
            <v>1359009.16</v>
          </cell>
        </row>
        <row r="96">
          <cell r="AX96">
            <v>439224.89</v>
          </cell>
        </row>
        <row r="97">
          <cell r="AX97">
            <v>292318</v>
          </cell>
        </row>
        <row r="98">
          <cell r="AX98">
            <v>193011</v>
          </cell>
        </row>
        <row r="99">
          <cell r="AX99">
            <v>624960.82999999996</v>
          </cell>
        </row>
        <row r="100">
          <cell r="AX100">
            <v>349107.07</v>
          </cell>
        </row>
        <row r="101">
          <cell r="AX101">
            <v>876848</v>
          </cell>
        </row>
        <row r="102">
          <cell r="AX102">
            <v>80101</v>
          </cell>
        </row>
        <row r="103">
          <cell r="AX103">
            <v>1336880.3999999999</v>
          </cell>
        </row>
        <row r="104">
          <cell r="AX104">
            <v>2855</v>
          </cell>
        </row>
        <row r="105">
          <cell r="AX105">
            <v>1087532.02</v>
          </cell>
        </row>
        <row r="106">
          <cell r="AX106">
            <v>1036246</v>
          </cell>
        </row>
        <row r="107">
          <cell r="AX107">
            <v>213797</v>
          </cell>
        </row>
        <row r="108">
          <cell r="AX108">
            <v>158249.31</v>
          </cell>
        </row>
        <row r="109">
          <cell r="AX109">
            <v>11536776.16</v>
          </cell>
        </row>
        <row r="110">
          <cell r="AX110">
            <v>0</v>
          </cell>
        </row>
        <row r="111">
          <cell r="AX111">
            <v>0</v>
          </cell>
        </row>
        <row r="112">
          <cell r="AX112">
            <v>0</v>
          </cell>
        </row>
        <row r="113">
          <cell r="AX113">
            <v>8790</v>
          </cell>
        </row>
        <row r="114">
          <cell r="AX114">
            <v>0</v>
          </cell>
        </row>
        <row r="115">
          <cell r="AX115">
            <v>0</v>
          </cell>
        </row>
        <row r="116">
          <cell r="AX116">
            <v>8790</v>
          </cell>
        </row>
        <row r="117">
          <cell r="AX117">
            <v>0</v>
          </cell>
        </row>
        <row r="118">
          <cell r="AX118">
            <v>1556627</v>
          </cell>
        </row>
        <row r="119">
          <cell r="AX119">
            <v>1273854</v>
          </cell>
        </row>
        <row r="120">
          <cell r="AX120">
            <v>1804489</v>
          </cell>
        </row>
        <row r="121">
          <cell r="AX121">
            <v>1158120</v>
          </cell>
        </row>
        <row r="122">
          <cell r="AX122">
            <v>0</v>
          </cell>
        </row>
        <row r="123">
          <cell r="AX123">
            <v>0</v>
          </cell>
        </row>
        <row r="124">
          <cell r="AX124">
            <v>0</v>
          </cell>
        </row>
        <row r="125">
          <cell r="AX125">
            <v>5793090</v>
          </cell>
        </row>
        <row r="126">
          <cell r="AX126">
            <v>235141185.37</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T-BILL"/>
      <sheetName val="PIB"/>
      <sheetName val="Movement"/>
      <sheetName val="SalePurchase"/>
      <sheetName val="Capital Gain"/>
      <sheetName val="FIB"/>
      <sheetName val="UMMF UNITS"/>
      <sheetName val="CALL MONEY"/>
      <sheetName val="price"/>
      <sheetName val="Sheet1"/>
      <sheetName val="List"/>
      <sheetName val="Implied Rate"/>
      <sheetName val="Sheet4"/>
      <sheetName val="PARTWISE BREAKUP"/>
      <sheetName val="BS-OVS"/>
      <sheetName val="OUTSTANDING FX-SWAP"/>
      <sheetName val="A-C CODE &amp; NAME"/>
      <sheetName val="Sheet2"/>
      <sheetName val="Data-904"/>
      <sheetName val="Lookups"/>
      <sheetName val="Sheet3"/>
      <sheetName val="I-B"/>
      <sheetName val="I-BR"/>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COMP INC"/>
      <sheetName val="CFS"/>
      <sheetName val="SOMPF"/>
      <sheetName val="SIC"/>
      <sheetName val="SIP"/>
      <sheetName val="AFS"/>
      <sheetName val="DT HFT"/>
      <sheetName val="GIS"/>
      <sheetName val="DT AFS"/>
      <sheetName val="PIBs"/>
      <sheetName val="T-Bills (DT)"/>
      <sheetName val="MM TBills "/>
      <sheetName val="T-Bills (MM)"/>
      <sheetName val="Form 8"/>
      <sheetName val="Form 9"/>
      <sheetName val="Form 10"/>
      <sheetName val="1-2.2"/>
      <sheetName val="1-12"/>
      <sheetName val="13-16"/>
      <sheetName val="17-17.1.2"/>
      <sheetName val="17.1.2"/>
      <sheetName val="17.1.3-17.2"/>
      <sheetName val="17.3"/>
      <sheetName val="17.4 (2014)"/>
      <sheetName val="17.4 (2013)"/>
      <sheetName val="18.4 (2012)"/>
      <sheetName val="18.5-23"/>
      <sheetName val="Complainces - Od and Td"/>
      <sheetName val="tb-2014"/>
      <sheetName val="Lead"/>
      <sheetName val="WWF"/>
      <sheetName val="Tax Provision"/>
      <sheetName val="Links"/>
      <sheetName val="Tickmarks"/>
      <sheetName val="NAV match"/>
      <sheetName val="tb-2015"/>
    </sheetNames>
    <sheetDataSet>
      <sheetData sheetId="0">
        <row r="13">
          <cell r="K13">
            <v>44824742</v>
          </cell>
        </row>
      </sheetData>
      <sheetData sheetId="1">
        <row r="28">
          <cell r="E28">
            <v>19636495</v>
          </cell>
        </row>
      </sheetData>
      <sheetData sheetId="2" refreshError="1"/>
      <sheetData sheetId="3" refreshError="1"/>
      <sheetData sheetId="4" refreshError="1"/>
      <sheetData sheetId="5">
        <row r="15">
          <cell r="D15">
            <v>79262747</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2">
          <cell r="F2" t="str">
            <v>Preliminary</v>
          </cell>
        </row>
      </sheetData>
      <sheetData sheetId="32" refreshError="1"/>
      <sheetData sheetId="33" refreshError="1"/>
      <sheetData sheetId="34">
        <row r="1">
          <cell r="F1" t="str">
            <v>Preliminary</v>
          </cell>
        </row>
      </sheetData>
      <sheetData sheetId="35" refreshError="1"/>
      <sheetData sheetId="36" refreshError="1"/>
      <sheetData sheetId="3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ement June09"/>
      <sheetName val="Verification Purchases"/>
      <sheetName val="Verification of Sales"/>
      <sheetName val="Dividend"/>
      <sheetName val="Tickmarks"/>
      <sheetName val="Movement"/>
      <sheetName val="MOvement Sched."/>
    </sheetNames>
    <sheetDataSet>
      <sheetData sheetId="0" refreshError="1"/>
      <sheetData sheetId="1" refreshError="1"/>
      <sheetData sheetId="2">
        <row r="3">
          <cell r="E3">
            <v>966404653</v>
          </cell>
        </row>
      </sheetData>
      <sheetData sheetId="3" refreshError="1"/>
      <sheetData sheetId="4" refreshError="1"/>
      <sheetData sheetId="5" refreshError="1"/>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structions"/>
      <sheetName val="Input-Qtrly"/>
      <sheetName val="Input-YTD and Expected"/>
      <sheetName val="Flux-Current Qtr."/>
      <sheetName val="Flux-YTD"/>
      <sheetName val="Ratios-Current Qtr."/>
      <sheetName val="Ratios-YTD"/>
      <sheetName val="Common Size-Current Qtr."/>
      <sheetName val="Common Size-YTD"/>
      <sheetName val="Module1"/>
      <sheetName val="WORKERS"/>
    </sheetNames>
    <sheetDataSet>
      <sheetData sheetId="0" refreshError="1"/>
      <sheetData sheetId="1" refreshError="1"/>
      <sheetData sheetId="2">
        <row r="8">
          <cell r="E8" t="str">
            <v>Practice US C Corporation</v>
          </cell>
        </row>
        <row r="27">
          <cell r="F27">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
      <sheetName val="Balance-Sheet"/>
      <sheetName val="P&amp;L-P&amp;LApp."/>
      <sheetName val="Revenue-Fire-Marine-Motor"/>
      <sheetName val="Cash Flow"/>
      <sheetName val="Equity"/>
      <sheetName val="Notes 1to7"/>
      <sheetName val="Note 8-10"/>
      <sheetName val="Note 11&amp;11.1"/>
      <sheetName val="Notes 12-15"/>
      <sheetName val="Note 16"/>
      <sheetName val="Note 17-19"/>
      <sheetName val="Classified Summary of Assets"/>
      <sheetName val="Revenue_Fire_Marine_Motor"/>
      <sheetName val="P&amp;L-P&amp;LApp_"/>
      <sheetName val="Cash_Flow"/>
      <sheetName val="Notes_1to7"/>
      <sheetName val="Note_8-10"/>
      <sheetName val="Note_11&amp;11_1"/>
      <sheetName val="Notes_12-15"/>
      <sheetName val="Note_16"/>
      <sheetName val="Note_17-19"/>
      <sheetName val="Classified_Summary_of_Assets"/>
      <sheetName val="Investments"/>
      <sheetName val="acct"/>
      <sheetName val="Lead"/>
      <sheetName val="Links"/>
      <sheetName val="IGI-Insurance(InvestmentNot)"/>
      <sheetName val="A"/>
      <sheetName val="NORMAL"/>
      <sheetName val="Credit Risk _CR2_"/>
      <sheetName val="AT&amp;T"/>
      <sheetName val="AT&amp;T Canada"/>
      <sheetName val="Bell Nexxia"/>
      <sheetName val="Global Crossing revised"/>
      <sheetName val="Sprint"/>
      <sheetName val="P&amp;L-P&amp;LApp_1"/>
      <sheetName val="Cash_Flow1"/>
      <sheetName val="Notes_1to71"/>
      <sheetName val="Note_8-101"/>
      <sheetName val="Note_11&amp;11_11"/>
      <sheetName val="Notes_12-151"/>
      <sheetName val="Note_161"/>
      <sheetName val="Note_17-191"/>
      <sheetName val="Classified_Summary_of_Assets1"/>
      <sheetName val="Credit_Risk__CR2_"/>
      <sheetName val="Accts"/>
      <sheetName val="ATTACH1B"/>
      <sheetName val="ATTACH1C"/>
      <sheetName val="note"/>
      <sheetName val="18"/>
      <sheetName val="Aircraft  Fuel"/>
      <sheetName val="Overview"/>
      <sheetName val="Design"/>
      <sheetName val="TOE 2"/>
      <sheetName val="BSDOMOVS"/>
      <sheetName val="Inputs"/>
      <sheetName val="BS"/>
      <sheetName val="PL"/>
      <sheetName val="RiskSim Summary 1"/>
      <sheetName val="SON"/>
      <sheetName val="DEC-05"/>
      <sheetName val="QTY"/>
      <sheetName val="ANA1"/>
      <sheetName val="CALL-L"/>
      <sheetName val="REV-SH "/>
      <sheetName val="Sheet4"/>
      <sheetName val="Op lease adj"/>
      <sheetName val="B.S AND P &amp; L"/>
      <sheetName val="others"/>
      <sheetName val="td"/>
      <sheetName val="cd "/>
      <sheetName val="adp_or"/>
      <sheetName val="c_b"/>
      <sheetName val="rc"/>
      <sheetName val="f_f"/>
      <sheetName val="tax"/>
      <sheetName val="Drop Down"/>
      <sheetName val="08"/>
      <sheetName val="program ve ödeme tablosu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0997"/>
      <sheetName val="region wise recovery"/>
      <sheetName val="region wise stuckup"/>
      <sheetName val="RC_0997"/>
      <sheetName val="Sheet2"/>
      <sheetName val="Sheet4"/>
      <sheetName val="BSDOMOVS"/>
      <sheetName val="region_wise_recovery"/>
      <sheetName val="region_wise_stuckup"/>
      <sheetName val="region_wise_recovery1"/>
      <sheetName val="region_wise_stuckup1"/>
      <sheetName val="region_wise_recovery3"/>
      <sheetName val="region_wise_stuckup3"/>
      <sheetName val="region_wise_recovery2"/>
      <sheetName val="region_wise_stuckup2"/>
      <sheetName val="PIB-IPS"/>
      <sheetName val="QTY"/>
      <sheetName val="APP-SOR"/>
      <sheetName val="ANA1"/>
      <sheetName val="CALL-L"/>
      <sheetName val="REV-SH "/>
      <sheetName val="region_wise_recovery4"/>
      <sheetName val="region_wise_stuckup4"/>
      <sheetName val="Actualization_Details"/>
      <sheetName val="LS-UAE"/>
      <sheetName val="EMOF Portfolio"/>
      <sheetName val="region_wise_recovery5"/>
      <sheetName val="region_wise_stuckup5"/>
      <sheetName val="REV-SH_"/>
      <sheetName val="balance sheet"/>
      <sheetName val="balance_sheet"/>
      <sheetName val="DATA"/>
      <sheetName val="GROUPING"/>
      <sheetName val="SCHEDULES"/>
      <sheetName val="TGL"/>
      <sheetName val="lp"/>
      <sheetName val="Currency"/>
      <sheetName val="settings"/>
      <sheetName val="last qrt2001"/>
      <sheetName val="REV-SH_1"/>
      <sheetName val="102B"/>
    </sheetNames>
    <sheetDataSet>
      <sheetData sheetId="0" refreshError="1">
        <row r="132">
          <cell r="C132" t="str">
            <v>TOTAL RECOVERY OF STUCK-UP ADVANCES REPORT</v>
          </cell>
          <cell r="D132">
            <v>0</v>
          </cell>
          <cell r="E132">
            <v>0</v>
          </cell>
          <cell r="F132">
            <v>0</v>
          </cell>
          <cell r="G132">
            <v>0</v>
          </cell>
          <cell r="H132">
            <v>0</v>
          </cell>
          <cell r="I132">
            <v>0</v>
          </cell>
          <cell r="J132">
            <v>0</v>
          </cell>
          <cell r="K132">
            <v>0</v>
          </cell>
          <cell r="L132">
            <v>0</v>
          </cell>
          <cell r="M132">
            <v>0</v>
          </cell>
          <cell r="N132">
            <v>0</v>
          </cell>
          <cell r="O132" t="str">
            <v>TOTAL</v>
          </cell>
        </row>
        <row r="133">
          <cell r="C133" t="str">
            <v>ON ACHIEVEMENT OF CASH RECOVERY TARGET FOR WEEK ENDED  31.12.98</v>
          </cell>
        </row>
        <row r="135">
          <cell r="B135">
            <v>0</v>
          </cell>
          <cell r="C135">
            <v>0</v>
          </cell>
          <cell r="D135">
            <v>0</v>
          </cell>
          <cell r="E135">
            <v>0</v>
          </cell>
          <cell r="F135">
            <v>0</v>
          </cell>
          <cell r="G135">
            <v>0</v>
          </cell>
          <cell r="H135">
            <v>0</v>
          </cell>
          <cell r="I135">
            <v>0</v>
          </cell>
          <cell r="J135" t="str">
            <v>ACHIEVEMENT OF TARGET ON WEEKLY BASIS</v>
          </cell>
        </row>
        <row r="136">
          <cell r="C136" t="str">
            <v>TOTAL</v>
          </cell>
          <cell r="D136" t="str">
            <v xml:space="preserve">  Total Stuck-up</v>
          </cell>
          <cell r="E136" t="str">
            <v>%   OF</v>
          </cell>
          <cell r="F136" t="str">
            <v xml:space="preserve">Cumulative </v>
          </cell>
          <cell r="G136" t="str">
            <v>CASH</v>
          </cell>
          <cell r="H136" t="str">
            <v>CASH</v>
          </cell>
          <cell r="I136" t="str">
            <v>CASH</v>
          </cell>
          <cell r="J136" t="str">
            <v>(SATURDAY POSITION) AS ON</v>
          </cell>
          <cell r="K136">
            <v>0</v>
          </cell>
          <cell r="L136">
            <v>0</v>
          </cell>
          <cell r="M136">
            <v>0</v>
          </cell>
          <cell r="N136">
            <v>0</v>
          </cell>
          <cell r="O136" t="str">
            <v>CASH</v>
          </cell>
          <cell r="P136" t="str">
            <v>CASH</v>
          </cell>
          <cell r="Q136" t="str">
            <v>CASH</v>
          </cell>
        </row>
        <row r="137">
          <cell r="B137" t="str">
            <v>NAME OF REGION</v>
          </cell>
          <cell r="C137" t="str">
            <v>ADVANCES</v>
          </cell>
          <cell r="D137" t="str">
            <v xml:space="preserve"> Advances </v>
          </cell>
          <cell r="E137" t="str">
            <v xml:space="preserve">Stuck-up To </v>
          </cell>
          <cell r="F137" t="str">
            <v xml:space="preserve">Position Of </v>
          </cell>
          <cell r="G137" t="str">
            <v xml:space="preserve"> Recovery</v>
          </cell>
          <cell r="H137" t="str">
            <v xml:space="preserve"> Recovery</v>
          </cell>
          <cell r="I137" t="str">
            <v xml:space="preserve"> Recovery</v>
          </cell>
          <cell r="J137">
            <v>0</v>
          </cell>
          <cell r="K137">
            <v>0</v>
          </cell>
          <cell r="L137">
            <v>0</v>
          </cell>
          <cell r="M137">
            <v>0</v>
          </cell>
          <cell r="N137">
            <v>0</v>
          </cell>
          <cell r="O137" t="str">
            <v>RECOVERY</v>
          </cell>
          <cell r="P137" t="str">
            <v>RECOVERY</v>
          </cell>
          <cell r="Q137" t="str">
            <v>RECOVERY</v>
          </cell>
        </row>
        <row r="138">
          <cell r="C138" t="str">
            <v>AS ON</v>
          </cell>
          <cell r="D138" t="str">
            <v>AS ON</v>
          </cell>
          <cell r="E138" t="str">
            <v xml:space="preserve"> Advances</v>
          </cell>
          <cell r="F138" t="str">
            <v>Declassification</v>
          </cell>
          <cell r="G138" t="str">
            <v>Target for</v>
          </cell>
          <cell r="H138" t="str">
            <v>JANUARY</v>
          </cell>
          <cell r="I138" t="str">
            <v>OCT.-98</v>
          </cell>
          <cell r="J138" t="str">
            <v>01.12.98</v>
          </cell>
          <cell r="K138" t="str">
            <v>06.12.98</v>
          </cell>
          <cell r="L138" t="str">
            <v>13.12.98</v>
          </cell>
          <cell r="M138" t="str">
            <v>20.12.98</v>
          </cell>
          <cell r="N138" t="str">
            <v>27.12.98</v>
          </cell>
          <cell r="O138" t="str">
            <v>01.12.98</v>
          </cell>
          <cell r="P138" t="str">
            <v>01.OCT.98</v>
          </cell>
          <cell r="Q138" t="str">
            <v>01.JAN.98</v>
          </cell>
        </row>
        <row r="139">
          <cell r="C139" t="str">
            <v xml:space="preserve"> REPORTING </v>
          </cell>
          <cell r="D139" t="str">
            <v xml:space="preserve"> REPORTING </v>
          </cell>
          <cell r="E139">
            <v>0</v>
          </cell>
          <cell r="F139" t="str">
            <v>01.01.98    TO</v>
          </cell>
          <cell r="G139" t="str">
            <v xml:space="preserve">Oct.-98  To    </v>
          </cell>
          <cell r="H139" t="str">
            <v>TO</v>
          </cell>
          <cell r="I139" t="str">
            <v>TO</v>
          </cell>
          <cell r="J139" t="str">
            <v>T o</v>
          </cell>
          <cell r="K139" t="str">
            <v>To</v>
          </cell>
          <cell r="L139" t="str">
            <v>To</v>
          </cell>
          <cell r="M139" t="str">
            <v>To</v>
          </cell>
          <cell r="N139" t="str">
            <v>To</v>
          </cell>
          <cell r="O139" t="str">
            <v>T o</v>
          </cell>
          <cell r="P139" t="str">
            <v>T o</v>
          </cell>
          <cell r="Q139" t="str">
            <v>T o</v>
          </cell>
        </row>
        <row r="140">
          <cell r="C140" t="str">
            <v>DATE</v>
          </cell>
          <cell r="D140" t="str">
            <v>DATE</v>
          </cell>
          <cell r="E140">
            <v>0</v>
          </cell>
          <cell r="F140" t="str">
            <v>31.12.98</v>
          </cell>
          <cell r="G140" t="str">
            <v>Dec.-98</v>
          </cell>
          <cell r="H140" t="str">
            <v>SEPT.98</v>
          </cell>
          <cell r="I140" t="str">
            <v>NOV.-98</v>
          </cell>
          <cell r="J140" t="str">
            <v>05.12.98</v>
          </cell>
          <cell r="K140" t="str">
            <v>12.12.98</v>
          </cell>
          <cell r="L140" t="str">
            <v>19.12.98</v>
          </cell>
          <cell r="M140" t="str">
            <v>26.12.98</v>
          </cell>
          <cell r="N140" t="str">
            <v>31.12.98</v>
          </cell>
          <cell r="O140" t="str">
            <v>31.12.98</v>
          </cell>
          <cell r="P140" t="str">
            <v>31.12.98</v>
          </cell>
          <cell r="Q140" t="str">
            <v>31.12.98</v>
          </cell>
        </row>
        <row r="142">
          <cell r="B142" t="str">
            <v xml:space="preserve"> Karachi</v>
          </cell>
          <cell r="C142">
            <v>19030.330999999998</v>
          </cell>
          <cell r="D142">
            <v>10018.798000000001</v>
          </cell>
          <cell r="E142">
            <v>0.52646472623098362</v>
          </cell>
          <cell r="F142">
            <v>385.839</v>
          </cell>
          <cell r="G142">
            <v>569.85320000000002</v>
          </cell>
          <cell r="H142">
            <v>539.92100000000005</v>
          </cell>
          <cell r="I142">
            <v>129.30300000000003</v>
          </cell>
          <cell r="J142">
            <v>6.6639999999999997</v>
          </cell>
          <cell r="K142">
            <v>24.8</v>
          </cell>
          <cell r="L142">
            <v>11.884</v>
          </cell>
          <cell r="M142">
            <v>20.273000000000003</v>
          </cell>
          <cell r="N142">
            <v>29.86</v>
          </cell>
          <cell r="O142">
            <v>93.480999999999995</v>
          </cell>
          <cell r="P142">
            <v>222.78400000000002</v>
          </cell>
          <cell r="Q142">
            <v>762.70500000000004</v>
          </cell>
        </row>
        <row r="144">
          <cell r="B144" t="str">
            <v xml:space="preserve"> Hyderabad</v>
          </cell>
          <cell r="C144">
            <v>2677.5169999999998</v>
          </cell>
          <cell r="D144">
            <v>1619.21</v>
          </cell>
          <cell r="E144">
            <v>0.60474312581395384</v>
          </cell>
          <cell r="F144">
            <v>236.73500000000001</v>
          </cell>
          <cell r="G144">
            <v>116.99520000000001</v>
          </cell>
          <cell r="H144">
            <v>177.74199999999999</v>
          </cell>
          <cell r="I144">
            <v>19.052</v>
          </cell>
          <cell r="J144">
            <v>2.004</v>
          </cell>
          <cell r="K144">
            <v>0.51300000000000001</v>
          </cell>
          <cell r="L144">
            <v>1.4930000000000001</v>
          </cell>
          <cell r="M144">
            <v>1.516</v>
          </cell>
          <cell r="N144">
            <v>7.0620000000000003</v>
          </cell>
          <cell r="O144">
            <v>12.588000000000001</v>
          </cell>
          <cell r="P144">
            <v>31.64</v>
          </cell>
          <cell r="Q144">
            <v>209.38200000000001</v>
          </cell>
        </row>
        <row r="146">
          <cell r="B146" t="str">
            <v xml:space="preserve"> Lahore</v>
          </cell>
          <cell r="C146">
            <v>10704.288999999999</v>
          </cell>
          <cell r="D146">
            <v>5760.77</v>
          </cell>
          <cell r="E146">
            <v>0.53817399735750793</v>
          </cell>
          <cell r="F146">
            <v>632.63800000000003</v>
          </cell>
          <cell r="G146">
            <v>458.03014999999994</v>
          </cell>
          <cell r="H146">
            <v>525.65499999999997</v>
          </cell>
          <cell r="I146">
            <v>112.08399999999999</v>
          </cell>
          <cell r="J146">
            <v>13.411000000000001</v>
          </cell>
          <cell r="K146">
            <v>6.9849999999999994</v>
          </cell>
          <cell r="L146">
            <v>10.581</v>
          </cell>
          <cell r="M146">
            <v>14.123000000000001</v>
          </cell>
          <cell r="N146">
            <v>24.815999999999999</v>
          </cell>
          <cell r="O146">
            <v>69.915999999999997</v>
          </cell>
          <cell r="P146">
            <v>182</v>
          </cell>
          <cell r="Q146">
            <v>707.65499999999997</v>
          </cell>
        </row>
        <row r="148">
          <cell r="B148" t="str">
            <v xml:space="preserve"> Multan</v>
          </cell>
          <cell r="C148">
            <v>2590.3609999999999</v>
          </cell>
          <cell r="D148">
            <v>1324.5950000000003</v>
          </cell>
          <cell r="E148">
            <v>0.51135536707045859</v>
          </cell>
          <cell r="F148">
            <v>177.19399999999999</v>
          </cell>
          <cell r="G148">
            <v>79.707549999999998</v>
          </cell>
          <cell r="H148">
            <v>151.52799999999999</v>
          </cell>
          <cell r="I148">
            <v>11.145</v>
          </cell>
          <cell r="J148">
            <v>0.51600000000000001</v>
          </cell>
          <cell r="K148">
            <v>0.66700000000000004</v>
          </cell>
          <cell r="L148">
            <v>1.1880000000000002</v>
          </cell>
          <cell r="M148">
            <v>1.8420000000000001</v>
          </cell>
          <cell r="N148">
            <v>3.3860000000000001</v>
          </cell>
          <cell r="O148">
            <v>7.5990000000000011</v>
          </cell>
          <cell r="P148">
            <v>18.744</v>
          </cell>
          <cell r="Q148">
            <v>170.27199999999999</v>
          </cell>
        </row>
        <row r="150">
          <cell r="B150" t="str">
            <v xml:space="preserve"> Faisalabad</v>
          </cell>
          <cell r="C150">
            <v>4085.4570000000003</v>
          </cell>
          <cell r="D150">
            <v>1335.7510000000002</v>
          </cell>
          <cell r="E150">
            <v>0.32695265180859817</v>
          </cell>
          <cell r="F150">
            <v>99.587000000000003</v>
          </cell>
          <cell r="G150">
            <v>54.026899999999998</v>
          </cell>
          <cell r="H150">
            <v>98.626000000000005</v>
          </cell>
          <cell r="I150">
            <v>6.8479999999999999</v>
          </cell>
          <cell r="J150">
            <v>9.8000000000000004E-2</v>
          </cell>
          <cell r="K150">
            <v>0.33899999999999997</v>
          </cell>
          <cell r="L150">
            <v>0.60299999999999998</v>
          </cell>
          <cell r="M150">
            <v>5.2530000000000001</v>
          </cell>
          <cell r="N150">
            <v>4.2119999999999997</v>
          </cell>
          <cell r="O150">
            <v>10.504999999999999</v>
          </cell>
          <cell r="P150">
            <v>17.352999999999998</v>
          </cell>
          <cell r="Q150">
            <v>115.979</v>
          </cell>
        </row>
        <row r="152">
          <cell r="B152" t="str">
            <v xml:space="preserve"> Islamabad</v>
          </cell>
          <cell r="C152">
            <v>2790.8959999999997</v>
          </cell>
          <cell r="D152">
            <v>305.00099999999998</v>
          </cell>
          <cell r="E152">
            <v>0.10928425853202699</v>
          </cell>
          <cell r="F152">
            <v>440.57600000000002</v>
          </cell>
          <cell r="G152">
            <v>32.041800000000002</v>
          </cell>
          <cell r="H152">
            <v>32.709000000000003</v>
          </cell>
          <cell r="I152">
            <v>304.93000000000006</v>
          </cell>
          <cell r="J152">
            <v>1.7000000000000001E-2</v>
          </cell>
          <cell r="K152">
            <v>0.41700000000000004</v>
          </cell>
          <cell r="L152">
            <v>3.7999999999999999E-2</v>
          </cell>
          <cell r="M152">
            <v>0.77500000000000002</v>
          </cell>
          <cell r="N152">
            <v>0.13200000000000001</v>
          </cell>
          <cell r="O152">
            <v>1.379</v>
          </cell>
          <cell r="P152">
            <v>306.30900000000008</v>
          </cell>
          <cell r="Q152">
            <v>339.01800000000009</v>
          </cell>
        </row>
        <row r="154">
          <cell r="B154" t="str">
            <v xml:space="preserve"> Peshawar</v>
          </cell>
          <cell r="C154">
            <v>1755.5030000000002</v>
          </cell>
          <cell r="D154">
            <v>976.72699999999998</v>
          </cell>
          <cell r="E154">
            <v>0.55638013720284152</v>
          </cell>
          <cell r="F154">
            <v>215.054</v>
          </cell>
          <cell r="G154">
            <v>58.060949999999998</v>
          </cell>
          <cell r="H154">
            <v>108.11200000000001</v>
          </cell>
          <cell r="I154">
            <v>15.343999999999999</v>
          </cell>
          <cell r="J154">
            <v>3.8489999999999998</v>
          </cell>
          <cell r="K154">
            <v>2.9080000000000004</v>
          </cell>
          <cell r="L154">
            <v>0.45</v>
          </cell>
          <cell r="M154">
            <v>4.5999999999999988</v>
          </cell>
          <cell r="N154">
            <v>3.718</v>
          </cell>
          <cell r="O154">
            <v>15.524999999999999</v>
          </cell>
          <cell r="P154">
            <v>30.869</v>
          </cell>
          <cell r="Q154">
            <v>138.98099999999999</v>
          </cell>
        </row>
        <row r="156">
          <cell r="B156" t="str">
            <v xml:space="preserve"> Quetta</v>
          </cell>
          <cell r="C156">
            <v>797.76599999999996</v>
          </cell>
          <cell r="D156">
            <v>662.81599999999992</v>
          </cell>
          <cell r="E156">
            <v>0.83084012103799854</v>
          </cell>
          <cell r="F156">
            <v>34.139000000000003</v>
          </cell>
          <cell r="G156">
            <v>35.650749999999995</v>
          </cell>
          <cell r="H156">
            <v>32.642000000000003</v>
          </cell>
          <cell r="I156">
            <v>2.3149999999999999</v>
          </cell>
          <cell r="J156">
            <v>2.4E-2</v>
          </cell>
          <cell r="K156">
            <v>5.8999999999999997E-2</v>
          </cell>
          <cell r="L156">
            <v>0.72799999999999998</v>
          </cell>
          <cell r="M156">
            <v>0.22000000000000003</v>
          </cell>
          <cell r="N156">
            <v>0.85199999999999998</v>
          </cell>
          <cell r="O156">
            <v>1.883</v>
          </cell>
          <cell r="P156">
            <v>4.1980000000000004</v>
          </cell>
          <cell r="Q156">
            <v>36.840000000000003</v>
          </cell>
        </row>
        <row r="158">
          <cell r="B158" t="str">
            <v xml:space="preserve"> A. Kashmir</v>
          </cell>
          <cell r="C158">
            <v>113.18900000000001</v>
          </cell>
          <cell r="D158">
            <v>2.8079999999999998</v>
          </cell>
          <cell r="E158">
            <v>2.480806438788221E-2</v>
          </cell>
          <cell r="F158">
            <v>0.74500000000000011</v>
          </cell>
          <cell r="G158">
            <v>0.18285000000000001</v>
          </cell>
          <cell r="H158">
            <v>0.69900000000000007</v>
          </cell>
          <cell r="I158">
            <v>1.3000000000000001E-2</v>
          </cell>
          <cell r="J158">
            <v>7.0000000000000001E-3</v>
          </cell>
          <cell r="K158">
            <v>4.1000000000000002E-2</v>
          </cell>
          <cell r="L158">
            <v>0</v>
          </cell>
          <cell r="M158">
            <v>0</v>
          </cell>
          <cell r="N158">
            <v>2.4E-2</v>
          </cell>
          <cell r="O158">
            <v>7.2000000000000008E-2</v>
          </cell>
          <cell r="P158">
            <v>8.5000000000000006E-2</v>
          </cell>
          <cell r="Q158">
            <v>0.78400000000000003</v>
          </cell>
        </row>
        <row r="160">
          <cell r="B160" t="str">
            <v>Investment, H.O</v>
          </cell>
          <cell r="C160">
            <v>5758.8</v>
          </cell>
          <cell r="D160">
            <v>2060.6410000000001</v>
          </cell>
          <cell r="E160">
            <v>0.35782472042786689</v>
          </cell>
          <cell r="F160">
            <v>39.043000000000006</v>
          </cell>
          <cell r="G160">
            <v>104.56895000000002</v>
          </cell>
          <cell r="H160">
            <v>29.77</v>
          </cell>
          <cell r="I160">
            <v>7.04</v>
          </cell>
          <cell r="J160">
            <v>0</v>
          </cell>
          <cell r="K160">
            <v>0</v>
          </cell>
          <cell r="L160">
            <v>0.57999999999999996</v>
          </cell>
          <cell r="M160">
            <v>0</v>
          </cell>
          <cell r="N160">
            <v>0.317</v>
          </cell>
          <cell r="O160">
            <v>0.89700000000000002</v>
          </cell>
          <cell r="P160">
            <v>7.9370000000000003</v>
          </cell>
          <cell r="Q160">
            <v>37.707000000000001</v>
          </cell>
        </row>
        <row r="162">
          <cell r="B162" t="str">
            <v>T O T A L</v>
          </cell>
          <cell r="C162">
            <v>50304.108999999997</v>
          </cell>
          <cell r="D162">
            <v>24067.117000000002</v>
          </cell>
          <cell r="E162">
            <v>0.4784324278559432</v>
          </cell>
          <cell r="F162">
            <v>2261.5500000000002</v>
          </cell>
          <cell r="G162">
            <v>1509.1183000000001</v>
          </cell>
          <cell r="H162">
            <v>1697.4040000000002</v>
          </cell>
          <cell r="I162">
            <v>608.07400000000018</v>
          </cell>
          <cell r="J162">
            <v>26.59</v>
          </cell>
          <cell r="K162">
            <v>36.728999999999999</v>
          </cell>
          <cell r="L162">
            <v>27.544999999999998</v>
          </cell>
          <cell r="M162">
            <v>48.602000000000004</v>
          </cell>
          <cell r="N162">
            <v>74.379000000000005</v>
          </cell>
          <cell r="O162">
            <v>213.84499999999997</v>
          </cell>
          <cell r="P162">
            <v>821.91900000000021</v>
          </cell>
          <cell r="Q162">
            <v>2519.3230000000003</v>
          </cell>
        </row>
        <row r="164">
          <cell r="B164" t="str">
            <v>REMARKS:</v>
          </cell>
        </row>
        <row r="165">
          <cell r="N165" t="str">
            <v>ASSISTANT VICE PRESIDENT</v>
          </cell>
        </row>
        <row r="166">
          <cell r="C166" t="str">
            <v xml:space="preserve">Over All Better Recovery performance </v>
          </cell>
        </row>
        <row r="168">
          <cell r="C168" t="str">
            <v>1) ISLAMABAD</v>
          </cell>
          <cell r="D168">
            <v>0</v>
          </cell>
          <cell r="E168">
            <v>306.30900000000008</v>
          </cell>
          <cell r="F168">
            <v>9.5596689324569795</v>
          </cell>
          <cell r="G168">
            <v>0</v>
          </cell>
          <cell r="H168" t="str">
            <v xml:space="preserve">OCT-DEC 98 TARGET    </v>
          </cell>
        </row>
      </sheetData>
      <sheetData sheetId="1">
        <row r="132">
          <cell r="C132" t="str">
            <v>TOTAL RECOVERY OF STUCK-UP ADVANCES REPORT</v>
          </cell>
        </row>
      </sheetData>
      <sheetData sheetId="2">
        <row r="132">
          <cell r="C132" t="str">
            <v>TOTAL RECOVERY OF STUCK-UP ADVANCES REPORT</v>
          </cell>
        </row>
      </sheetData>
      <sheetData sheetId="3">
        <row r="132">
          <cell r="C132" t="str">
            <v>TOTAL RECOVERY OF STUCK-UP ADVANCES REPORT</v>
          </cell>
        </row>
      </sheetData>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ow r="132">
          <cell r="C132" t="str">
            <v>TOTAL RECOVERY OF STUCK-UP ADVANCES REPORT</v>
          </cell>
        </row>
      </sheetData>
      <sheetData sheetId="22">
        <row r="132">
          <cell r="C132" t="str">
            <v>TOTAL RECOVERY OF STUCK-UP ADVANCES REPORT</v>
          </cell>
        </row>
      </sheetData>
      <sheetData sheetId="23" refreshError="1"/>
      <sheetData sheetId="24" refreshError="1"/>
      <sheetData sheetId="25" refreshError="1"/>
      <sheetData sheetId="26">
        <row r="132">
          <cell r="C132" t="str">
            <v>TOTAL RECOVERY OF STUCK-UP ADVANCES REPORT</v>
          </cell>
        </row>
      </sheetData>
      <sheetData sheetId="27">
        <row r="132">
          <cell r="C132" t="str">
            <v>TOTAL RECOVERY OF STUCK-UP ADVANCES REPORT</v>
          </cell>
        </row>
      </sheetData>
      <sheetData sheetId="28">
        <row r="132">
          <cell r="C132" t="str">
            <v>TOTAL RECOVERY OF STUCK-UP ADVANCES REPORT</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 &amp; L"/>
      <sheetName val="OCI"/>
      <sheetName val="Distribution"/>
      <sheetName val="UHF-Updated"/>
      <sheetName val="Cash Flow"/>
      <sheetName val="N1-6"/>
      <sheetName val="6.1-6.2"/>
      <sheetName val="7-09"/>
      <sheetName val="N 10-13"/>
      <sheetName val="13.3"/>
      <sheetName val="N 14-16"/>
      <sheetName val="RP Working 31 Dec 2016"/>
      <sheetName val="CF Working"/>
      <sheetName val="BS Detail"/>
      <sheetName val="BS Note"/>
      <sheetName val="PL Detial level"/>
      <sheetName val="PL Note"/>
      <sheetName val="Lead"/>
      <sheetName val="Lead (2)"/>
      <sheetName val="Lead "/>
      <sheetName val="Sheet1"/>
      <sheetName val="UHF "/>
    </sheetNames>
    <sheetDataSet>
      <sheetData sheetId="0">
        <row r="5">
          <cell r="K5" t="str">
            <v>(Un-audited)</v>
          </cell>
        </row>
        <row r="32">
          <cell r="K32">
            <v>107085834</v>
          </cell>
        </row>
        <row r="41">
          <cell r="A41" t="str">
            <v>MCB-Arif Habib Savings and Investments Limited</v>
          </cell>
        </row>
      </sheetData>
      <sheetData sheetId="1">
        <row r="25">
          <cell r="J25">
            <v>36437</v>
          </cell>
          <cell r="N25">
            <v>19080</v>
          </cell>
        </row>
        <row r="28">
          <cell r="J28">
            <v>4737</v>
          </cell>
          <cell r="N28">
            <v>2481</v>
          </cell>
        </row>
        <row r="29">
          <cell r="J29">
            <v>4573</v>
          </cell>
          <cell r="N29">
            <v>2362</v>
          </cell>
        </row>
        <row r="30">
          <cell r="J30">
            <v>595</v>
          </cell>
          <cell r="N30">
            <v>308</v>
          </cell>
        </row>
        <row r="32">
          <cell r="J32">
            <v>6477</v>
          </cell>
        </row>
        <row r="36">
          <cell r="N36">
            <v>251</v>
          </cell>
        </row>
      </sheetData>
      <sheetData sheetId="2"/>
      <sheetData sheetId="3"/>
      <sheetData sheetId="4"/>
      <sheetData sheetId="5"/>
      <sheetData sheetId="6"/>
      <sheetData sheetId="7"/>
      <sheetData sheetId="8"/>
      <sheetData sheetId="9"/>
      <sheetData sheetId="10"/>
      <sheetData sheetId="11"/>
      <sheetData sheetId="12">
        <row r="3">
          <cell r="E3">
            <v>7408468</v>
          </cell>
          <cell r="F3">
            <v>750743078</v>
          </cell>
        </row>
        <row r="5">
          <cell r="E5">
            <v>-4780261</v>
          </cell>
          <cell r="F5">
            <v>-485590525</v>
          </cell>
        </row>
        <row r="6">
          <cell r="E6" t="e">
            <v>#REF!</v>
          </cell>
        </row>
        <row r="10">
          <cell r="E10">
            <v>455460</v>
          </cell>
          <cell r="F10">
            <v>46350038</v>
          </cell>
        </row>
        <row r="12">
          <cell r="E12">
            <v>-330630</v>
          </cell>
          <cell r="F12">
            <v>-33771757</v>
          </cell>
        </row>
        <row r="13">
          <cell r="E13" t="e">
            <v>#REF!</v>
          </cell>
        </row>
        <row r="17">
          <cell r="E17">
            <v>4621908</v>
          </cell>
          <cell r="F17">
            <v>470436704</v>
          </cell>
        </row>
        <row r="19">
          <cell r="E19">
            <v>-4099579</v>
          </cell>
          <cell r="F19">
            <v>-418051552</v>
          </cell>
        </row>
        <row r="20">
          <cell r="E20" t="e">
            <v>#REF!</v>
          </cell>
        </row>
        <row r="25">
          <cell r="E25">
            <v>7962798</v>
          </cell>
          <cell r="F25">
            <v>800000000</v>
          </cell>
        </row>
        <row r="27">
          <cell r="E27">
            <v>-7962798</v>
          </cell>
          <cell r="F27">
            <v>-800539878</v>
          </cell>
        </row>
        <row r="154">
          <cell r="E154">
            <v>189776.9</v>
          </cell>
        </row>
        <row r="163">
          <cell r="L163">
            <v>502099</v>
          </cell>
        </row>
        <row r="167">
          <cell r="E167">
            <v>1138601</v>
          </cell>
          <cell r="F167">
            <v>115000000</v>
          </cell>
        </row>
        <row r="169">
          <cell r="E169">
            <v>-1138601</v>
          </cell>
          <cell r="F169">
            <v>-115292605</v>
          </cell>
        </row>
        <row r="174">
          <cell r="E174">
            <v>49572</v>
          </cell>
          <cell r="F174">
            <v>5000000</v>
          </cell>
        </row>
        <row r="176">
          <cell r="E176">
            <v>-49572</v>
          </cell>
          <cell r="F176">
            <v>-5045200</v>
          </cell>
        </row>
        <row r="181">
          <cell r="E181">
            <v>147413</v>
          </cell>
          <cell r="F181">
            <v>15000000</v>
          </cell>
        </row>
        <row r="183">
          <cell r="E183">
            <v>-147413</v>
          </cell>
          <cell r="F183">
            <v>-15048833</v>
          </cell>
        </row>
        <row r="189">
          <cell r="E189">
            <v>2185022</v>
          </cell>
          <cell r="F189">
            <v>224020000</v>
          </cell>
        </row>
        <row r="191">
          <cell r="E191">
            <v>-1906029</v>
          </cell>
          <cell r="F191">
            <v>-194236141</v>
          </cell>
        </row>
        <row r="192">
          <cell r="E192" t="e">
            <v>#REF!</v>
          </cell>
        </row>
      </sheetData>
      <sheetData sheetId="13"/>
      <sheetData sheetId="14">
        <row r="49">
          <cell r="D49">
            <v>-74</v>
          </cell>
        </row>
        <row r="51">
          <cell r="D51">
            <v>-571</v>
          </cell>
        </row>
      </sheetData>
      <sheetData sheetId="15">
        <row r="3">
          <cell r="D3">
            <v>5262615</v>
          </cell>
        </row>
      </sheetData>
      <sheetData sheetId="16"/>
      <sheetData sheetId="17"/>
      <sheetData sheetId="18"/>
      <sheetData sheetId="19"/>
      <sheetData sheetId="20"/>
      <sheetData sheetId="21"/>
      <sheetData sheetId="2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OCI"/>
      <sheetName val="UHF-NEW"/>
      <sheetName val="Sheet1"/>
      <sheetName val="CF"/>
      <sheetName val="1-4.1"/>
      <sheetName val="5-5.2.2"/>
      <sheetName val="6-8"/>
      <sheetName val="9-12.2"/>
      <sheetName val="13.3"/>
      <sheetName val="12.3"/>
      <sheetName val="13-16.2"/>
      <sheetName val="TB"/>
      <sheetName val="DS"/>
      <sheetName val="UHF"/>
      <sheetName val="Trial Balance"/>
    </sheetNames>
    <sheetDataSet>
      <sheetData sheetId="0"/>
      <sheetData sheetId="1"/>
      <sheetData sheetId="2"/>
      <sheetData sheetId="3"/>
      <sheetData sheetId="4"/>
      <sheetData sheetId="5"/>
      <sheetData sheetId="6"/>
      <sheetData sheetId="7"/>
      <sheetData sheetId="8">
        <row r="30">
          <cell r="H30">
            <v>4367</v>
          </cell>
        </row>
        <row r="31">
          <cell r="H31">
            <v>568</v>
          </cell>
        </row>
        <row r="32">
          <cell r="H32">
            <v>2791</v>
          </cell>
        </row>
        <row r="33">
          <cell r="H33">
            <v>0</v>
          </cell>
        </row>
      </sheetData>
      <sheetData sheetId="9"/>
      <sheetData sheetId="10"/>
      <sheetData sheetId="11"/>
      <sheetData sheetId="12"/>
      <sheetData sheetId="13"/>
      <sheetData sheetId="14"/>
      <sheetData sheetId="15"/>
      <sheetData sheetId="16">
        <row r="17">
          <cell r="F17">
            <v>10363658</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HF (2)"/>
      <sheetName val="IS (2)"/>
      <sheetName val="BS"/>
      <sheetName val="IS"/>
      <sheetName val="OCI"/>
      <sheetName val="Distribution"/>
      <sheetName val="UHF"/>
      <sheetName val="Cashflow"/>
      <sheetName val="Note 1-5"/>
      <sheetName val="Note 5.1"/>
      <sheetName val="Note 5.2"/>
      <sheetName val="5.3"/>
      <sheetName val=" Note 5.4 - 5.5"/>
      <sheetName val="Note 5.6 - 6"/>
      <sheetName val="Note 6.1-12"/>
      <sheetName val="Note 12.1 - 14"/>
      <sheetName val="Note 15"/>
      <sheetName val="Lead"/>
      <sheetName val="Cash Flow working"/>
      <sheetName val="Cash Flow Working 1"/>
      <sheetName val="Tickmarks1-5-2018 11.49.55 AM"/>
      <sheetName val="RNotes1-5-2018 11.49.55 AM"/>
      <sheetName val="TextXRef1-5-2018 11.49.55 AM"/>
      <sheetName val="NumXRef1-5-2018 11.49.55 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ected pief"/>
      <sheetName val="PSX"/>
      <sheetName val="Sheet1"/>
      <sheetName val="MUFAP"/>
      <sheetName val="realised gain"/>
    </sheetNames>
    <sheetDataSet>
      <sheetData sheetId="0"/>
      <sheetData sheetId="1"/>
      <sheetData sheetId="2"/>
      <sheetData sheetId="3">
        <row r="11">
          <cell r="B11" t="str">
            <v>BPPL/SUK/180117</v>
          </cell>
          <cell r="C11" t="str">
            <v>BYCO PETROLEUM PAKISTAN LTD. - SUKUK (18-01-17)</v>
          </cell>
          <cell r="D11">
            <v>0</v>
          </cell>
          <cell r="E11" t="str">
            <v>Traded</v>
          </cell>
          <cell r="F11">
            <v>100.1016</v>
          </cell>
        </row>
        <row r="12">
          <cell r="B12" t="str">
            <v>HBL/TFC/190216</v>
          </cell>
          <cell r="C12" t="str">
            <v>HABIB BANK LTD. - TFC (19-02-16) ****  (&amp;= -0.5%)</v>
          </cell>
          <cell r="D12">
            <v>0</v>
          </cell>
          <cell r="E12" t="str">
            <v>Non-Traded</v>
          </cell>
          <cell r="F12">
            <v>97.256180255517734</v>
          </cell>
        </row>
        <row r="13">
          <cell r="B13" t="str">
            <v>NJHCL/SUK/290616</v>
          </cell>
          <cell r="C13" t="str">
            <v>NEELUM JHELUM HYDROPOWER COMPANY (PVT) LTD. - SUKUK (29-06-16) ****</v>
          </cell>
          <cell r="D13">
            <v>0</v>
          </cell>
          <cell r="E13" t="str">
            <v>Non-Traded</v>
          </cell>
          <cell r="F13">
            <v>103</v>
          </cell>
        </row>
        <row r="14">
          <cell r="B14" t="str">
            <v>WAPDA/SUK/141013</v>
          </cell>
          <cell r="C14" t="str">
            <v>WAPDA - SUKUK (14-10-13) ****</v>
          </cell>
          <cell r="D14">
            <v>0</v>
          </cell>
          <cell r="E14" t="str">
            <v>Non-Traded</v>
          </cell>
          <cell r="F14">
            <v>99.849319546492808</v>
          </cell>
        </row>
        <row r="15">
          <cell r="B15" t="str">
            <v>WAPDA/TFC/270913</v>
          </cell>
          <cell r="C15" t="str">
            <v>WAPDA - TFC (27-09-13) ****</v>
          </cell>
          <cell r="D15">
            <v>0</v>
          </cell>
          <cell r="E15" t="str">
            <v>Non-Traded</v>
          </cell>
          <cell r="F15">
            <v>97.942424873322665</v>
          </cell>
        </row>
        <row r="16">
          <cell r="B16">
            <v>0</v>
          </cell>
          <cell r="C16">
            <v>0</v>
          </cell>
          <cell r="D16">
            <v>0</v>
          </cell>
          <cell r="E16">
            <v>0</v>
          </cell>
          <cell r="F16">
            <v>0</v>
          </cell>
        </row>
        <row r="17">
          <cell r="B17">
            <v>0</v>
          </cell>
          <cell r="C17">
            <v>0</v>
          </cell>
          <cell r="D17">
            <v>0</v>
          </cell>
          <cell r="E17">
            <v>0</v>
          </cell>
          <cell r="F17">
            <v>0</v>
          </cell>
        </row>
        <row r="18">
          <cell r="B18" t="str">
            <v>JSCL/TFC/240616</v>
          </cell>
          <cell r="C18" t="str">
            <v>JAHANGIR SIDDIQUI &amp; COMPANY LTD. - TFC (24-06-16) ****</v>
          </cell>
          <cell r="D18">
            <v>0</v>
          </cell>
          <cell r="E18" t="str">
            <v>Non-Traded</v>
          </cell>
          <cell r="F18">
            <v>98.85011328414457</v>
          </cell>
        </row>
        <row r="19">
          <cell r="B19" t="str">
            <v>JSCL/TFC/180717</v>
          </cell>
          <cell r="C19" t="str">
            <v>JAHANGIR SIDDIQUI &amp; COMPANY LTD. - TFC (18-07-17)</v>
          </cell>
          <cell r="D19">
            <v>0</v>
          </cell>
          <cell r="E19" t="str">
            <v>Traded</v>
          </cell>
          <cell r="F19">
            <v>100</v>
          </cell>
        </row>
        <row r="20">
          <cell r="B20" t="str">
            <v>JSCL/TFC/060318</v>
          </cell>
          <cell r="C20" t="str">
            <v>JAHANGIR SIDDIQUI &amp; COMPANY LTD. - TFC (06-03-18) ****</v>
          </cell>
          <cell r="D20">
            <v>0</v>
          </cell>
          <cell r="E20" t="str">
            <v>Non-Traded</v>
          </cell>
          <cell r="F20">
            <v>99.121199098764706</v>
          </cell>
        </row>
        <row r="21">
          <cell r="B21" t="str">
            <v>KEL/SUK/170615</v>
          </cell>
          <cell r="C21" t="str">
            <v>K-ELECTRIC LTD. - SUKUK (17-06-15) ****</v>
          </cell>
          <cell r="D21">
            <v>0</v>
          </cell>
          <cell r="E21" t="str">
            <v>Non-Traded</v>
          </cell>
          <cell r="F21">
            <v>101.2693</v>
          </cell>
        </row>
        <row r="22">
          <cell r="B22" t="str">
            <v>KEL/SUK/030820</v>
          </cell>
          <cell r="C22" t="str">
            <v>K-ELECTRIC LTD. - SUKUK (03-08-20)</v>
          </cell>
          <cell r="D22">
            <v>0</v>
          </cell>
          <cell r="E22" t="str">
            <v>Traded</v>
          </cell>
          <cell r="F22">
            <v>102.51568461538461</v>
          </cell>
        </row>
        <row r="23">
          <cell r="B23" t="str">
            <v>HUBCO/SUK/220819</v>
          </cell>
          <cell r="C23" t="str">
            <v>THE HUB POWER COMPANY LTD. - SUKUK (22-08-19)</v>
          </cell>
          <cell r="D23">
            <v>0</v>
          </cell>
          <cell r="E23" t="str">
            <v>Traded</v>
          </cell>
          <cell r="F23">
            <v>102.425</v>
          </cell>
        </row>
        <row r="24">
          <cell r="B24" t="str">
            <v>HUBCO/SUK/190320</v>
          </cell>
          <cell r="C24" t="str">
            <v>THE HUB POWER COMPANY LTD. - SUKUK (19-03-20) ****</v>
          </cell>
          <cell r="D24">
            <v>0</v>
          </cell>
          <cell r="E24" t="str">
            <v>Non-Traded</v>
          </cell>
          <cell r="F24">
            <v>103</v>
          </cell>
        </row>
        <row r="25">
          <cell r="B25">
            <v>0</v>
          </cell>
          <cell r="C25">
            <v>0</v>
          </cell>
          <cell r="D25">
            <v>0</v>
          </cell>
          <cell r="E25">
            <v>0</v>
          </cell>
          <cell r="F25">
            <v>0</v>
          </cell>
        </row>
        <row r="26">
          <cell r="B26">
            <v>0</v>
          </cell>
          <cell r="C26">
            <v>0</v>
          </cell>
          <cell r="D26">
            <v>0</v>
          </cell>
          <cell r="E26">
            <v>0</v>
          </cell>
          <cell r="F26">
            <v>0</v>
          </cell>
        </row>
        <row r="27">
          <cell r="B27" t="str">
            <v>AKBL/TFC/170320</v>
          </cell>
          <cell r="C27" t="str">
            <v>ASKARI BANK LTD. - TFC (17-03-20)</v>
          </cell>
          <cell r="D27">
            <v>0</v>
          </cell>
          <cell r="E27" t="str">
            <v>Traded</v>
          </cell>
          <cell r="F27">
            <v>100</v>
          </cell>
        </row>
        <row r="28">
          <cell r="B28" t="str">
            <v>BAHL/TFC/170316</v>
          </cell>
          <cell r="C28" t="str">
            <v>BANK AL-HABIB LTD. - TFC (17-03-16)  **** (&amp;=-1.5%, -0.5%, -0.50%)</v>
          </cell>
          <cell r="D28">
            <v>0</v>
          </cell>
          <cell r="E28" t="str">
            <v>Non-Traded</v>
          </cell>
          <cell r="F28">
            <v>90.230538739765706</v>
          </cell>
        </row>
        <row r="29">
          <cell r="B29" t="str">
            <v>BAHL/TFC/061218</v>
          </cell>
          <cell r="C29" t="str">
            <v>BANK AL-HABIB LTD. - TFC (06-12-18)  **** (&amp;=-1.5%, -0.5%, -0.50%)</v>
          </cell>
          <cell r="D29">
            <v>0</v>
          </cell>
          <cell r="E29" t="str">
            <v>Non-Traded</v>
          </cell>
          <cell r="F29">
            <v>97.770682413730697</v>
          </cell>
        </row>
        <row r="30">
          <cell r="B30" t="str">
            <v>DHCL/SUK/161117</v>
          </cell>
          <cell r="C30" t="str">
            <v>DAWOOD HERCULES CORPORATION LTD. SUKUK (16-11-17)</v>
          </cell>
          <cell r="D30">
            <v>0</v>
          </cell>
          <cell r="E30" t="str">
            <v>Traded</v>
          </cell>
          <cell r="F30">
            <v>101.3</v>
          </cell>
        </row>
        <row r="31">
          <cell r="B31" t="str">
            <v>DHCL/SUK/010318</v>
          </cell>
          <cell r="C31" t="str">
            <v>DAWOOD HERCULES CORPORATION LTD. SUKUK (01-03-18)</v>
          </cell>
          <cell r="D31">
            <v>0</v>
          </cell>
          <cell r="E31" t="str">
            <v>Traded</v>
          </cell>
          <cell r="F31">
            <v>101.39999999999999</v>
          </cell>
        </row>
        <row r="32">
          <cell r="B32" t="str">
            <v>EPC/SUK/110119</v>
          </cell>
          <cell r="C32" t="str">
            <v>ENGRO POLYMER &amp; CHEMICALS LTD. SUKUK (11-01-19)</v>
          </cell>
          <cell r="D32">
            <v>0</v>
          </cell>
          <cell r="E32" t="str">
            <v>Traded</v>
          </cell>
          <cell r="F32">
            <v>101.77631578947368</v>
          </cell>
        </row>
        <row r="33">
          <cell r="B33" t="str">
            <v>IBL/SUK/151117</v>
          </cell>
          <cell r="C33" t="str">
            <v>INTERNATIONAL BRANDS LTD.  SUKUK (15-11-17)</v>
          </cell>
          <cell r="D33">
            <v>0</v>
          </cell>
          <cell r="E33" t="str">
            <v>Traded</v>
          </cell>
          <cell r="F33">
            <v>100.1</v>
          </cell>
        </row>
        <row r="34">
          <cell r="B34" t="str">
            <v>MBL/SUK/220916</v>
          </cell>
          <cell r="C34" t="str">
            <v>MEEZAN BANK LTD. - SUKUK (22-09-16) ****</v>
          </cell>
          <cell r="D34">
            <v>0</v>
          </cell>
          <cell r="E34" t="str">
            <v>Non-Traded</v>
          </cell>
          <cell r="F34">
            <v>102.74513764887921</v>
          </cell>
        </row>
        <row r="35">
          <cell r="B35" t="str">
            <v>MBL/SUK/090120</v>
          </cell>
          <cell r="C35" t="str">
            <v>MEEZAN BANK LTD. - SUKUK (09-01-20)</v>
          </cell>
          <cell r="D35">
            <v>0</v>
          </cell>
          <cell r="E35" t="str">
            <v>Traded</v>
          </cell>
          <cell r="F35">
            <v>102.5</v>
          </cell>
        </row>
        <row r="36">
          <cell r="B36">
            <v>0</v>
          </cell>
          <cell r="C36">
            <v>0</v>
          </cell>
          <cell r="D36">
            <v>0</v>
          </cell>
          <cell r="E36">
            <v>0</v>
          </cell>
          <cell r="F36">
            <v>0</v>
          </cell>
        </row>
        <row r="37">
          <cell r="B37">
            <v>0</v>
          </cell>
          <cell r="C37">
            <v>0</v>
          </cell>
          <cell r="D37">
            <v>0</v>
          </cell>
          <cell r="E37">
            <v>0</v>
          </cell>
          <cell r="F37">
            <v>0</v>
          </cell>
        </row>
        <row r="38">
          <cell r="B38" t="str">
            <v>DIBP/SUK/140717</v>
          </cell>
          <cell r="C38" t="str">
            <v>DUBAI ISLAMIC BANK PAKISTAN LTD. - SUKUK (14-07-17)</v>
          </cell>
          <cell r="D38">
            <v>0</v>
          </cell>
          <cell r="E38" t="str">
            <v>Non-Traded</v>
          </cell>
          <cell r="F38">
            <v>102.52000000000001</v>
          </cell>
        </row>
        <row r="39">
          <cell r="B39" t="str">
            <v>FFCL/SUK/281116</v>
          </cell>
          <cell r="C39" t="str">
            <v>FATIMA FERTILIZER COMPANY LTD. - SUKUK (28-11-16) ****</v>
          </cell>
          <cell r="D39">
            <v>0</v>
          </cell>
          <cell r="E39" t="str">
            <v>Non-Traded</v>
          </cell>
          <cell r="F39">
            <v>100.72600071663824</v>
          </cell>
        </row>
        <row r="40">
          <cell r="B40" t="str">
            <v>JCL/SUK/041018</v>
          </cell>
          <cell r="C40" t="str">
            <v>JAVEDAN CORPORATION LTD. - SUKUK (04-10-2018)</v>
          </cell>
          <cell r="D40">
            <v>0</v>
          </cell>
          <cell r="E40" t="str">
            <v>Non-Traded</v>
          </cell>
          <cell r="F40">
            <v>99.762192068378596</v>
          </cell>
        </row>
        <row r="41">
          <cell r="B41" t="str">
            <v>BOP/TFC/231216</v>
          </cell>
          <cell r="C41" t="str">
            <v>THE BANK OF PUNJAB - TFC (23-12-16)</v>
          </cell>
          <cell r="D41">
            <v>0</v>
          </cell>
          <cell r="E41" t="str">
            <v>Traded</v>
          </cell>
          <cell r="F41">
            <v>100.1</v>
          </cell>
        </row>
        <row r="42">
          <cell r="B42" t="str">
            <v>BOP/TFC/230418</v>
          </cell>
          <cell r="C42" t="str">
            <v>THE BANK OF PUNJAB - TFC (23-04-18) **** (&amp;=-1.5%, -0.5%, -0.50%)</v>
          </cell>
          <cell r="D42">
            <v>0</v>
          </cell>
          <cell r="E42" t="str">
            <v>Non-Traded</v>
          </cell>
          <cell r="F42">
            <v>86.499282446293464</v>
          </cell>
        </row>
        <row r="43">
          <cell r="B43">
            <v>0</v>
          </cell>
          <cell r="C43">
            <v>0</v>
          </cell>
          <cell r="D43">
            <v>0</v>
          </cell>
          <cell r="E43">
            <v>0</v>
          </cell>
          <cell r="F43">
            <v>0</v>
          </cell>
        </row>
        <row r="44">
          <cell r="B44">
            <v>0</v>
          </cell>
          <cell r="C44">
            <v>0</v>
          </cell>
          <cell r="D44">
            <v>0</v>
          </cell>
          <cell r="E44">
            <v>0</v>
          </cell>
          <cell r="F44">
            <v>0</v>
          </cell>
        </row>
        <row r="45">
          <cell r="B45" t="str">
            <v>AGPL/SUK/090617</v>
          </cell>
          <cell r="C45" t="str">
            <v>AGP LTD. - SUKUK (09-06-17) ****</v>
          </cell>
          <cell r="D45">
            <v>0</v>
          </cell>
          <cell r="E45" t="str">
            <v>Non-Traded</v>
          </cell>
          <cell r="F45">
            <v>100.83117922315688</v>
          </cell>
        </row>
        <row r="46">
          <cell r="B46" t="str">
            <v>JSBL/TFC/141216</v>
          </cell>
          <cell r="C46" t="str">
            <v>JS BANK LTD. - TFC (14-12-16)</v>
          </cell>
          <cell r="D46">
            <v>0</v>
          </cell>
          <cell r="E46" t="str">
            <v>Traded</v>
          </cell>
          <cell r="F46">
            <v>98.313084112149511</v>
          </cell>
        </row>
        <row r="47">
          <cell r="B47" t="str">
            <v>JSBL/TFC/291217</v>
          </cell>
          <cell r="C47" t="str">
            <v>JS BANK LTD. - TFC (29-12-17) ****</v>
          </cell>
          <cell r="D47">
            <v>0</v>
          </cell>
          <cell r="E47" t="str">
            <v>Non-Traded</v>
          </cell>
          <cell r="F47">
            <v>98.499254013895907</v>
          </cell>
        </row>
        <row r="48">
          <cell r="B48" t="str">
            <v>PEL/SUK/101219</v>
          </cell>
          <cell r="C48" t="str">
            <v>PAK ELEKTRON LTD - SUKUK (10-12-19)-Amortization</v>
          </cell>
          <cell r="D48">
            <v>0</v>
          </cell>
          <cell r="E48" t="str">
            <v>Non-Traded</v>
          </cell>
          <cell r="F48">
            <v>100.47224523612262</v>
          </cell>
        </row>
        <row r="49">
          <cell r="B49" t="str">
            <v>SNBL/TFC/080715</v>
          </cell>
          <cell r="C49" t="str">
            <v>SONERI BANK LTD. - TFC (08-07-15) ****</v>
          </cell>
          <cell r="D49">
            <v>0</v>
          </cell>
          <cell r="E49" t="str">
            <v>Non-Traded</v>
          </cell>
          <cell r="F49">
            <v>98.016270026776425</v>
          </cell>
        </row>
        <row r="50">
          <cell r="B50" t="str">
            <v>TPL/SUK/130416</v>
          </cell>
          <cell r="C50" t="str">
            <v>TPL CORP LTD. (Formerly: TPL TRAKKER LTD). - SUKUK (13-04-16) ****</v>
          </cell>
          <cell r="D50">
            <v>0</v>
          </cell>
          <cell r="E50" t="str">
            <v>Non-Traded</v>
          </cell>
          <cell r="F50">
            <v>100</v>
          </cell>
        </row>
        <row r="51">
          <cell r="B51">
            <v>0</v>
          </cell>
          <cell r="C51">
            <v>0</v>
          </cell>
          <cell r="D51">
            <v>0</v>
          </cell>
          <cell r="E51">
            <v>0</v>
          </cell>
          <cell r="F51">
            <v>0</v>
          </cell>
        </row>
        <row r="52">
          <cell r="B52">
            <v>0</v>
          </cell>
          <cell r="C52">
            <v>0</v>
          </cell>
          <cell r="D52">
            <v>0</v>
          </cell>
          <cell r="E52">
            <v>0</v>
          </cell>
          <cell r="F52">
            <v>0</v>
          </cell>
        </row>
        <row r="53">
          <cell r="B53" t="str">
            <v>ASIL/SUK/091018</v>
          </cell>
          <cell r="C53" t="str">
            <v>AGHA STEEL INDUSTRIES LTD. SUKUK (09-10-18)</v>
          </cell>
          <cell r="D53">
            <v>0</v>
          </cell>
          <cell r="E53" t="str">
            <v>Non-Traded</v>
          </cell>
          <cell r="F53">
            <v>95.640916560667463</v>
          </cell>
        </row>
        <row r="54">
          <cell r="B54" t="str">
            <v>ABPL/SUK/220817</v>
          </cell>
          <cell r="C54" t="str">
            <v>AL BARAKA BANK (PAKISTAN) LTD. - SUKUK (22-08-17) ****</v>
          </cell>
          <cell r="D54">
            <v>0</v>
          </cell>
          <cell r="E54" t="str">
            <v>Non-Traded</v>
          </cell>
          <cell r="F54">
            <v>98.403626220710933</v>
          </cell>
        </row>
        <row r="55">
          <cell r="B55" t="str">
            <v>ASPIN/SUK/301117</v>
          </cell>
          <cell r="C55" t="str">
            <v>ASPIN PHARMA (PVT) LTD -SUKUK (30-11-17) ****</v>
          </cell>
          <cell r="D55">
            <v>0</v>
          </cell>
          <cell r="E55" t="str">
            <v>Non-Traded</v>
          </cell>
          <cell r="F55">
            <v>100.28902681904728</v>
          </cell>
        </row>
        <row r="56">
          <cell r="B56" t="str">
            <v>EPTPL/SUK/020819</v>
          </cell>
          <cell r="C56" t="str">
            <v>ENGRO POWERGEN THAR (PVT) LTD - SUKUK (02-08-19) ****</v>
          </cell>
          <cell r="D56">
            <v>0</v>
          </cell>
          <cell r="E56" t="str">
            <v>Non-Traded</v>
          </cell>
          <cell r="F56">
            <v>98.194315922911557</v>
          </cell>
        </row>
        <row r="57">
          <cell r="B57" t="str">
            <v>KASHF/TFC/300919</v>
          </cell>
          <cell r="C57" t="str">
            <v>KASHF FOUNDATION  - TFC (30-09-19)</v>
          </cell>
          <cell r="D57">
            <v>0</v>
          </cell>
          <cell r="E57" t="str">
            <v>Non-Traded</v>
          </cell>
          <cell r="F57">
            <v>98.725757798989093</v>
          </cell>
        </row>
        <row r="58">
          <cell r="B58" t="str">
            <v>MTM/SUK/171219</v>
          </cell>
          <cell r="C58" t="str">
            <v>MASOOD TEXTILE MILLS LTD. - SUKUK (17-12-19)</v>
          </cell>
          <cell r="D58">
            <v>0</v>
          </cell>
          <cell r="E58" t="str">
            <v>Non-Traded</v>
          </cell>
          <cell r="F58">
            <v>97.503943546385756</v>
          </cell>
        </row>
        <row r="59">
          <cell r="B59" t="str">
            <v>SFPL/SUK/100718</v>
          </cell>
          <cell r="C59" t="str">
            <v>SHAKARGANJ FOOD PRODUCTS LTD. SUKUK (10-07-18) ****</v>
          </cell>
          <cell r="D59">
            <v>0</v>
          </cell>
          <cell r="E59" t="str">
            <v>Non-Traded</v>
          </cell>
          <cell r="F59">
            <v>99.427312725724022</v>
          </cell>
        </row>
        <row r="60">
          <cell r="B60">
            <v>0</v>
          </cell>
          <cell r="C60">
            <v>0</v>
          </cell>
          <cell r="D60">
            <v>0</v>
          </cell>
          <cell r="E60">
            <v>0</v>
          </cell>
          <cell r="F60">
            <v>0</v>
          </cell>
        </row>
        <row r="61">
          <cell r="B61">
            <v>0</v>
          </cell>
          <cell r="C61">
            <v>0</v>
          </cell>
          <cell r="D61">
            <v>0</v>
          </cell>
          <cell r="E61">
            <v>0</v>
          </cell>
          <cell r="F61">
            <v>0</v>
          </cell>
        </row>
        <row r="62">
          <cell r="B62" t="str">
            <v>ABPL/SUK/260914</v>
          </cell>
          <cell r="C62" t="str">
            <v>AL BARAKA BANK (PAKISTAN) LTD. - SUKUK (26-09-14)  ****</v>
          </cell>
          <cell r="D62">
            <v>0</v>
          </cell>
          <cell r="E62" t="str">
            <v>Non-Traded</v>
          </cell>
          <cell r="F62">
            <v>99.860694295241203</v>
          </cell>
        </row>
        <row r="63">
          <cell r="B63" t="str">
            <v>GGL/SUK/020217</v>
          </cell>
          <cell r="C63" t="str">
            <v>GHANI CHEMICAL INDUSTRIES LTD. (Formerly: GHANI GASES LTD.) - SUKUK (02-02-17) **** (&amp;=-0.5%)</v>
          </cell>
          <cell r="D63">
            <v>0</v>
          </cell>
          <cell r="E63" t="str">
            <v>Non-Traded</v>
          </cell>
          <cell r="F63">
            <v>87.376016344280089</v>
          </cell>
        </row>
        <row r="64">
          <cell r="B64" t="str">
            <v>UMBL/TFC/300617</v>
          </cell>
          <cell r="C64" t="str">
            <v>U MICROFINANCE BANK LTD - TFC (30-06-17) **** (&amp;=-0.5%)</v>
          </cell>
          <cell r="D64">
            <v>0</v>
          </cell>
          <cell r="E64" t="str">
            <v>Non-Traded</v>
          </cell>
          <cell r="F64">
            <v>100.41624885979212</v>
          </cell>
        </row>
        <row r="65">
          <cell r="B65">
            <v>0</v>
          </cell>
          <cell r="C65">
            <v>0</v>
          </cell>
          <cell r="D65">
            <v>0</v>
          </cell>
          <cell r="E65">
            <v>0</v>
          </cell>
          <cell r="F65">
            <v>0</v>
          </cell>
        </row>
        <row r="66">
          <cell r="B66">
            <v>0</v>
          </cell>
          <cell r="C66">
            <v>0</v>
          </cell>
          <cell r="D66">
            <v>0</v>
          </cell>
          <cell r="E66">
            <v>0</v>
          </cell>
          <cell r="F66">
            <v>0</v>
          </cell>
        </row>
        <row r="67">
          <cell r="B67" t="str">
            <v>SBL/TFC/100817</v>
          </cell>
          <cell r="C67" t="str">
            <v>SILK BANK LTD. - TFC (10-08-17)  (&amp;=-0.5%)</v>
          </cell>
          <cell r="D67">
            <v>0</v>
          </cell>
          <cell r="E67" t="str">
            <v>Non-Traded</v>
          </cell>
          <cell r="F67">
            <v>87.09477853460713</v>
          </cell>
        </row>
        <row r="68">
          <cell r="B68">
            <v>0</v>
          </cell>
          <cell r="C68">
            <v>0</v>
          </cell>
          <cell r="D68">
            <v>0</v>
          </cell>
          <cell r="E68">
            <v>0</v>
          </cell>
          <cell r="F68">
            <v>0</v>
          </cell>
        </row>
        <row r="69">
          <cell r="B69">
            <v>0</v>
          </cell>
          <cell r="C69">
            <v>0</v>
          </cell>
          <cell r="D69">
            <v>0</v>
          </cell>
          <cell r="E69">
            <v>0</v>
          </cell>
          <cell r="F69">
            <v>0</v>
          </cell>
        </row>
        <row r="70">
          <cell r="B70">
            <v>0</v>
          </cell>
          <cell r="C70" t="str">
            <v xml:space="preserve"> ------------------ NIL ------------------------</v>
          </cell>
          <cell r="D70">
            <v>0</v>
          </cell>
          <cell r="E70">
            <v>0</v>
          </cell>
          <cell r="F70">
            <v>0</v>
          </cell>
        </row>
        <row r="71">
          <cell r="B71">
            <v>0</v>
          </cell>
          <cell r="C71">
            <v>0</v>
          </cell>
          <cell r="D71">
            <v>0</v>
          </cell>
          <cell r="E71">
            <v>0</v>
          </cell>
          <cell r="F71">
            <v>0</v>
          </cell>
        </row>
        <row r="72">
          <cell r="B72">
            <v>0</v>
          </cell>
          <cell r="C72">
            <v>0</v>
          </cell>
          <cell r="D72">
            <v>0</v>
          </cell>
          <cell r="E72">
            <v>0</v>
          </cell>
          <cell r="F72">
            <v>0</v>
          </cell>
        </row>
        <row r="73">
          <cell r="B73" t="str">
            <v>HPL/SUK/070116</v>
          </cell>
          <cell r="C73" t="str">
            <v>HASCOL PETROLEUM LTD. - SUKUK (07-01-16) ****</v>
          </cell>
          <cell r="D73">
            <v>0</v>
          </cell>
          <cell r="E73" t="str">
            <v>Non-Traded</v>
          </cell>
          <cell r="F73">
            <v>98.364473507295074</v>
          </cell>
        </row>
        <row r="74">
          <cell r="B74">
            <v>0</v>
          </cell>
          <cell r="C74">
            <v>0</v>
          </cell>
          <cell r="D74">
            <v>0</v>
          </cell>
          <cell r="E74">
            <v>0</v>
          </cell>
          <cell r="F74">
            <v>0</v>
          </cell>
        </row>
        <row r="75">
          <cell r="B75">
            <v>0</v>
          </cell>
          <cell r="C75">
            <v>0</v>
          </cell>
          <cell r="D75">
            <v>0</v>
          </cell>
          <cell r="E75">
            <v>0</v>
          </cell>
          <cell r="F75">
            <v>0</v>
          </cell>
        </row>
        <row r="76">
          <cell r="B76" t="str">
            <v>Code</v>
          </cell>
          <cell r="C76" t="str">
            <v>TFCs and Sukuks</v>
          </cell>
          <cell r="D76">
            <v>0</v>
          </cell>
          <cell r="E76" t="str">
            <v>Traded / Non-Traded</v>
          </cell>
          <cell r="F76">
            <v>0</v>
          </cell>
        </row>
        <row r="77">
          <cell r="B77">
            <v>0</v>
          </cell>
          <cell r="C77" t="str">
            <v>-------------------   Nil  ----------------------------</v>
          </cell>
          <cell r="D77">
            <v>0</v>
          </cell>
          <cell r="E77">
            <v>0</v>
          </cell>
          <cell r="F77">
            <v>0</v>
          </cell>
        </row>
        <row r="78">
          <cell r="B78">
            <v>0</v>
          </cell>
          <cell r="C78">
            <v>0</v>
          </cell>
          <cell r="D78">
            <v>0</v>
          </cell>
          <cell r="E78">
            <v>0</v>
          </cell>
          <cell r="F78">
            <v>0</v>
          </cell>
        </row>
        <row r="79">
          <cell r="B79">
            <v>0</v>
          </cell>
          <cell r="C79">
            <v>0</v>
          </cell>
          <cell r="D79">
            <v>0</v>
          </cell>
          <cell r="E79">
            <v>0</v>
          </cell>
          <cell r="F79">
            <v>0</v>
          </cell>
        </row>
        <row r="80">
          <cell r="B80" t="str">
            <v>Code</v>
          </cell>
          <cell r="C80" t="str">
            <v>TFCs and Sukuks</v>
          </cell>
          <cell r="D80">
            <v>0</v>
          </cell>
          <cell r="E80" t="str">
            <v>Traded / Non-Traded</v>
          </cell>
          <cell r="F80">
            <v>0</v>
          </cell>
        </row>
        <row r="81">
          <cell r="B81">
            <v>0</v>
          </cell>
          <cell r="C81" t="str">
            <v>-------------------   Nil  ----------------------------</v>
          </cell>
          <cell r="D81">
            <v>0</v>
          </cell>
          <cell r="E81">
            <v>0</v>
          </cell>
          <cell r="F81">
            <v>0</v>
          </cell>
        </row>
        <row r="82">
          <cell r="B82">
            <v>0</v>
          </cell>
          <cell r="C82">
            <v>0</v>
          </cell>
          <cell r="D82">
            <v>0</v>
          </cell>
          <cell r="E82">
            <v>0</v>
          </cell>
          <cell r="F82">
            <v>0</v>
          </cell>
        </row>
        <row r="83">
          <cell r="B83">
            <v>0</v>
          </cell>
          <cell r="C83">
            <v>0</v>
          </cell>
          <cell r="D83">
            <v>0</v>
          </cell>
          <cell r="E83">
            <v>0</v>
          </cell>
          <cell r="F83">
            <v>0</v>
          </cell>
        </row>
        <row r="84">
          <cell r="B84" t="str">
            <v>Code</v>
          </cell>
          <cell r="C84" t="str">
            <v>TFCs and Sukuks</v>
          </cell>
          <cell r="D84">
            <v>0</v>
          </cell>
          <cell r="E84" t="str">
            <v>Traded / Non-Traded</v>
          </cell>
          <cell r="F84">
            <v>0</v>
          </cell>
        </row>
        <row r="85">
          <cell r="B85">
            <v>0</v>
          </cell>
          <cell r="C85" t="str">
            <v>-------------------   Nil  ----------------------------</v>
          </cell>
          <cell r="D85">
            <v>0</v>
          </cell>
          <cell r="E85">
            <v>0</v>
          </cell>
          <cell r="F85">
            <v>0</v>
          </cell>
        </row>
        <row r="86">
          <cell r="B86">
            <v>0</v>
          </cell>
          <cell r="C86">
            <v>0</v>
          </cell>
          <cell r="D86">
            <v>0</v>
          </cell>
          <cell r="E86">
            <v>0</v>
          </cell>
          <cell r="F86">
            <v>0</v>
          </cell>
        </row>
        <row r="87">
          <cell r="B87" t="str">
            <v>Code</v>
          </cell>
          <cell r="C87" t="str">
            <v>TFCs and Sukuks</v>
          </cell>
          <cell r="D87" t="str">
            <v>Non-Performing Since</v>
          </cell>
          <cell r="E87" t="str">
            <v>Traded / Non-Traded</v>
          </cell>
          <cell r="F87">
            <v>0</v>
          </cell>
        </row>
        <row r="88">
          <cell r="B88" t="str">
            <v>PAFL/TFC/291107</v>
          </cell>
          <cell r="C88" t="str">
            <v>AGRITECH LTD. - TFC (29-11-07)</v>
          </cell>
          <cell r="D88">
            <v>40343</v>
          </cell>
          <cell r="E88" t="str">
            <v>Non-Traded</v>
          </cell>
          <cell r="F88" t="str">
            <v>A/C to NPA</v>
          </cell>
        </row>
        <row r="89">
          <cell r="B89" t="str">
            <v>PAFL/TFC/140108</v>
          </cell>
          <cell r="C89" t="str">
            <v xml:space="preserve">AGRITECH LTD. - TFC (14-01-08)  </v>
          </cell>
          <cell r="D89">
            <v>40392</v>
          </cell>
          <cell r="E89" t="str">
            <v>Non-Traded</v>
          </cell>
          <cell r="F89" t="str">
            <v>A/C to NPA</v>
          </cell>
        </row>
        <row r="90">
          <cell r="B90" t="str">
            <v>PAFL/SUK/060808</v>
          </cell>
          <cell r="C90" t="str">
            <v>AGRITECH LTD. - SUKUK (06-08-08)</v>
          </cell>
          <cell r="D90">
            <v>40413</v>
          </cell>
          <cell r="E90" t="str">
            <v>Non-Traded</v>
          </cell>
          <cell r="F90" t="str">
            <v>A/C to NPA</v>
          </cell>
        </row>
        <row r="91">
          <cell r="B91" t="str">
            <v>PAFL/TFC/011208</v>
          </cell>
          <cell r="C91" t="str">
            <v>AGRITECH LTD. - TFC (01-12-08)</v>
          </cell>
          <cell r="D91">
            <v>40345</v>
          </cell>
          <cell r="E91" t="str">
            <v>Non-Traded</v>
          </cell>
          <cell r="F91" t="str">
            <v>A/C to NPA</v>
          </cell>
        </row>
        <row r="92">
          <cell r="B92" t="str">
            <v>-</v>
          </cell>
          <cell r="C92" t="str">
            <v xml:space="preserve">AGRITECH LTD (11%) - TFC (01-07-11)  </v>
          </cell>
          <cell r="D92">
            <v>40925</v>
          </cell>
          <cell r="E92" t="str">
            <v>Non-Traded</v>
          </cell>
          <cell r="F92" t="str">
            <v>A/C to NPA</v>
          </cell>
        </row>
        <row r="93">
          <cell r="B93" t="str">
            <v>-</v>
          </cell>
          <cell r="C93" t="str">
            <v xml:space="preserve">AGRITECH LTD (0%) - TFC (01-07-11)  </v>
          </cell>
          <cell r="D93">
            <v>40925</v>
          </cell>
          <cell r="E93" t="str">
            <v>Non-Traded</v>
          </cell>
          <cell r="F93" t="str">
            <v>A/C to NPA</v>
          </cell>
        </row>
        <row r="94">
          <cell r="B94" t="str">
            <v>AZLC/TFC/050907</v>
          </cell>
          <cell r="C94" t="str">
            <v>ALZAMIN LEASING CORPORATION LTD. - TFC (05-09-07)</v>
          </cell>
          <cell r="D94">
            <v>41046</v>
          </cell>
          <cell r="E94" t="str">
            <v>Non-Traded</v>
          </cell>
          <cell r="F94" t="str">
            <v>A/C to NPA</v>
          </cell>
        </row>
        <row r="95">
          <cell r="B95" t="str">
            <v>AZLM/TFC/120508</v>
          </cell>
          <cell r="C95" t="str">
            <v>AL-ZAMIN LEASING MODARABA LTD. - TFC (12-05-08)</v>
          </cell>
          <cell r="D95">
            <v>40416</v>
          </cell>
          <cell r="E95" t="str">
            <v>Non-Traded</v>
          </cell>
          <cell r="F95" t="str">
            <v>A/C to NPA</v>
          </cell>
        </row>
        <row r="96">
          <cell r="B96" t="str">
            <v>AML/SUK/120108</v>
          </cell>
          <cell r="C96" t="str">
            <v>AMTEX LTD. - SUKUK (21-01-08)</v>
          </cell>
          <cell r="D96">
            <v>40549</v>
          </cell>
          <cell r="E96" t="str">
            <v>Non-Traded</v>
          </cell>
          <cell r="F96" t="str">
            <v>A/C to NPA</v>
          </cell>
        </row>
        <row r="97">
          <cell r="B97" t="str">
            <v>ATML/SUK/150408</v>
          </cell>
          <cell r="C97" t="str">
            <v>ARZOO TEXTILE MILLS LTD. - SUKUK (15-04-08)</v>
          </cell>
          <cell r="D97">
            <v>40180</v>
          </cell>
          <cell r="E97" t="str">
            <v>Non-Traded</v>
          </cell>
          <cell r="F97" t="str">
            <v>A/C to NPA</v>
          </cell>
        </row>
        <row r="98">
          <cell r="B98" t="str">
            <v>ANL/TFC/200905</v>
          </cell>
          <cell r="C98" t="str">
            <v>AZGARD NINE LTD. -  TFC (20-09-05)</v>
          </cell>
          <cell r="D98">
            <v>40317</v>
          </cell>
          <cell r="E98" t="str">
            <v>Non-Traded</v>
          </cell>
          <cell r="F98" t="str">
            <v>A/C to NPA</v>
          </cell>
        </row>
        <row r="99">
          <cell r="B99" t="str">
            <v>ANL/TFC/041207</v>
          </cell>
          <cell r="C99" t="str">
            <v>AZGARD NINE LTD. - TFC (04-12-07) PP</v>
          </cell>
          <cell r="D99">
            <v>40350</v>
          </cell>
          <cell r="E99" t="str">
            <v>Non-Traded</v>
          </cell>
          <cell r="F99" t="str">
            <v>A/C to NPA</v>
          </cell>
        </row>
        <row r="100">
          <cell r="B100" t="str">
            <v>ANL/TFC/280612</v>
          </cell>
          <cell r="C100" t="str">
            <v>AZGARD NINE LTD. - TFC (28-06-12) (Zero Coupon)</v>
          </cell>
          <cell r="D100">
            <v>41250</v>
          </cell>
          <cell r="E100" t="str">
            <v>Non-Traded</v>
          </cell>
          <cell r="F100" t="str">
            <v>A/C to NPA</v>
          </cell>
        </row>
        <row r="101">
          <cell r="B101" t="str">
            <v>BRRGM/TFC/070708</v>
          </cell>
          <cell r="C101" t="str">
            <v>BRR GUARDIAN MODARABA (07-07-08)</v>
          </cell>
          <cell r="D101">
            <v>42030</v>
          </cell>
          <cell r="E101" t="str">
            <v>Non-Traded</v>
          </cell>
          <cell r="F101" t="str">
            <v>A/C to NPA</v>
          </cell>
        </row>
        <row r="102">
          <cell r="B102" t="str">
            <v>BNL/TFC/301108</v>
          </cell>
          <cell r="C102" t="str">
            <v>BUNNY'S LTD. - TFC (30-11-08)</v>
          </cell>
          <cell r="D102">
            <v>40709</v>
          </cell>
          <cell r="E102" t="str">
            <v>Non-Traded</v>
          </cell>
          <cell r="F102" t="str">
            <v>A/C to NPA</v>
          </cell>
        </row>
        <row r="103">
          <cell r="B103" t="str">
            <v>DCL/TFC/</v>
          </cell>
          <cell r="C103" t="str">
            <v>DEWAN CEMENT LTD.</v>
          </cell>
          <cell r="D103">
            <v>39822</v>
          </cell>
          <cell r="E103" t="str">
            <v>Non-Traded</v>
          </cell>
          <cell r="F103" t="str">
            <v>A/C to NPA</v>
          </cell>
        </row>
        <row r="104">
          <cell r="B104" t="str">
            <v>EHL/SUK/311207</v>
          </cell>
          <cell r="C104" t="str">
            <v>EDEN HOUSING LTD. - SUKUK (31-12-07)</v>
          </cell>
          <cell r="D104">
            <v>41289</v>
          </cell>
          <cell r="E104" t="str">
            <v>Non-Traded</v>
          </cell>
          <cell r="F104" t="str">
            <v>A/C to NPA</v>
          </cell>
        </row>
        <row r="105">
          <cell r="B105" t="str">
            <v>EHL/SUK/310308</v>
          </cell>
          <cell r="C105" t="str">
            <v>EDEN HOUSING LTD. -  SUKUK (31-03-08)</v>
          </cell>
          <cell r="D105">
            <v>40669</v>
          </cell>
          <cell r="E105" t="str">
            <v>Non-Traded</v>
          </cell>
          <cell r="F105" t="str">
            <v>A/C to NPA</v>
          </cell>
        </row>
        <row r="106">
          <cell r="B106" t="str">
            <v>NAEL/TFC/150507</v>
          </cell>
          <cell r="C106" t="str">
            <v>NEW ALLIED ELECTRONIC (15-05-07)</v>
          </cell>
          <cell r="D106">
            <v>39822</v>
          </cell>
          <cell r="E106" t="str">
            <v>Non-Traded</v>
          </cell>
          <cell r="F106" t="str">
            <v>A/C to NPA</v>
          </cell>
        </row>
        <row r="107">
          <cell r="B107" t="str">
            <v>NAEL/SUK/270707</v>
          </cell>
          <cell r="C107" t="str">
            <v>NEW ALLIED ELECTRONIC - SUKUK (27-07-07)</v>
          </cell>
          <cell r="D107">
            <v>39822</v>
          </cell>
          <cell r="E107" t="str">
            <v>Non-Traded</v>
          </cell>
          <cell r="F107" t="str">
            <v>A/C to NPA</v>
          </cell>
        </row>
        <row r="108">
          <cell r="B108" t="str">
            <v>NAEIL/SUK/031207</v>
          </cell>
          <cell r="C108" t="str">
            <v>NEW ALLIED ELECTRONIC - SUKUK (03-12-07)</v>
          </cell>
          <cell r="D108">
            <v>39822</v>
          </cell>
          <cell r="E108" t="str">
            <v>Non-Traded</v>
          </cell>
          <cell r="F108" t="str">
            <v>A/C to NPA</v>
          </cell>
        </row>
        <row r="109">
          <cell r="B109" t="str">
            <v>PACE/TFC/150208</v>
          </cell>
          <cell r="C109" t="str">
            <v>PACE (PAKISTAN) LTD. - TFC (15-02-08)</v>
          </cell>
          <cell r="D109">
            <v>40791</v>
          </cell>
          <cell r="E109" t="str">
            <v>Non-Traded</v>
          </cell>
          <cell r="F109" t="str">
            <v>A/C to NPA</v>
          </cell>
        </row>
        <row r="110">
          <cell r="B110" t="str">
            <v>PHO/TFC/311208</v>
          </cell>
          <cell r="C110" t="str">
            <v>PAK HY-OILS LTD. - TFC (31-12-08)</v>
          </cell>
          <cell r="D110">
            <v>40199</v>
          </cell>
          <cell r="E110" t="str">
            <v>Non-Traded</v>
          </cell>
          <cell r="F110" t="str">
            <v>A/C to NPA</v>
          </cell>
        </row>
        <row r="111">
          <cell r="B111" t="str">
            <v>QTML/SUK/260908</v>
          </cell>
          <cell r="C111" t="str">
            <v>QUETTA TEXTILE MILLS LTD. - SUKUK (26-09-08)</v>
          </cell>
          <cell r="D111">
            <v>41010</v>
          </cell>
          <cell r="E111" t="str">
            <v>Non-Traded</v>
          </cell>
          <cell r="F111" t="str">
            <v>A/C to NPA</v>
          </cell>
        </row>
        <row r="112">
          <cell r="B112" t="str">
            <v>SPLC/TFC/130308</v>
          </cell>
          <cell r="C112" t="str">
            <v>SAUDI PAK LEASING COMPANY LTD. - TFC (13-03-08)</v>
          </cell>
          <cell r="D112">
            <v>41759</v>
          </cell>
          <cell r="E112" t="str">
            <v>Non-Traded</v>
          </cell>
          <cell r="F112" t="str">
            <v>A/C to NPA</v>
          </cell>
        </row>
        <row r="113">
          <cell r="B113" t="str">
            <v>SLCL/TFC/280306</v>
          </cell>
          <cell r="C113" t="str">
            <v>SECURITY LEASING CORPORATION LTD. - PPTFC (28-03-06)</v>
          </cell>
          <cell r="D113">
            <v>41866</v>
          </cell>
          <cell r="E113" t="str">
            <v>Non-Traded</v>
          </cell>
          <cell r="F113" t="str">
            <v>A/C to NPA</v>
          </cell>
        </row>
        <row r="114">
          <cell r="B114" t="str">
            <v>SLCL/SUK/010607</v>
          </cell>
          <cell r="C114" t="str">
            <v>SECURITY LEASING CORPORATION LTD. - SUKKUK (01-06-07) - I</v>
          </cell>
          <cell r="D114">
            <v>41858</v>
          </cell>
          <cell r="E114" t="str">
            <v>Non-Traded</v>
          </cell>
          <cell r="F114" t="str">
            <v>A/C to NPA</v>
          </cell>
        </row>
        <row r="115">
          <cell r="B115" t="str">
            <v>SLCL/SUK/190907</v>
          </cell>
          <cell r="C115" t="str">
            <v>SECURITY LEASING CORPORATION LTD. - SUKKUK (19-09-07) - II</v>
          </cell>
          <cell r="D115">
            <v>41002</v>
          </cell>
          <cell r="E115" t="str">
            <v>Non-Traded</v>
          </cell>
          <cell r="F115" t="str">
            <v>A/C to NPA</v>
          </cell>
        </row>
        <row r="116">
          <cell r="B116" t="str">
            <v>SGML/TFC/220908</v>
          </cell>
          <cell r="C116" t="str">
            <v>SHAKARGANJ MILLS LTD. - TFC (22-09-08)</v>
          </cell>
          <cell r="D116">
            <v>40141</v>
          </cell>
          <cell r="E116" t="str">
            <v>Non-Traded</v>
          </cell>
          <cell r="F116" t="str">
            <v>A/C to NPA</v>
          </cell>
        </row>
        <row r="117">
          <cell r="B117" t="str">
            <v>SPL/SUK/190808</v>
          </cell>
          <cell r="C117" t="str">
            <v>SITARA PEROXIDE LTD. - SUKUK (19-08-08)</v>
          </cell>
          <cell r="D117">
            <v>40344</v>
          </cell>
          <cell r="E117" t="str">
            <v>Non-Traded</v>
          </cell>
          <cell r="F117" t="str">
            <v>A/C to NPA</v>
          </cell>
        </row>
        <row r="118">
          <cell r="B118" t="str">
            <v>SMMTB/TFC/271011</v>
          </cell>
          <cell r="C118" t="str">
            <v xml:space="preserve">SUMMIT BANK LTD. - TFC (27-10-11) </v>
          </cell>
          <cell r="D118">
            <v>43417</v>
          </cell>
          <cell r="E118" t="str">
            <v>Non-Traded</v>
          </cell>
          <cell r="F118" t="str">
            <v>A/C to NPA</v>
          </cell>
        </row>
        <row r="119">
          <cell r="B119" t="str">
            <v>TELE/TFC/270505</v>
          </cell>
          <cell r="C119" t="str">
            <v>TELECARD LTD. - TFC (27-05-05)</v>
          </cell>
          <cell r="D119">
            <v>40707</v>
          </cell>
          <cell r="E119" t="str">
            <v>Non-Traded</v>
          </cell>
          <cell r="F119" t="str">
            <v>A/C to NPA</v>
          </cell>
        </row>
        <row r="120">
          <cell r="B120" t="str">
            <v>TSHM/SUK/250808</v>
          </cell>
          <cell r="C120" t="str">
            <v>THREE STAR HOSIERY - SUKUK (25-06-08)</v>
          </cell>
          <cell r="D120">
            <v>40340</v>
          </cell>
          <cell r="E120" t="str">
            <v>Non-Traded</v>
          </cell>
          <cell r="F120" t="str">
            <v>A/C to NPA</v>
          </cell>
        </row>
        <row r="121">
          <cell r="B121" t="str">
            <v>TRIBL/TFC/040708</v>
          </cell>
          <cell r="C121" t="str">
            <v>TRUST INVESTMENT BANK LTD. - TFC (04-07-08) </v>
          </cell>
          <cell r="D121">
            <v>41200</v>
          </cell>
          <cell r="E121" t="str">
            <v>Non-Traded</v>
          </cell>
          <cell r="F121" t="str">
            <v>A/C to NPA</v>
          </cell>
        </row>
        <row r="122">
          <cell r="B122" t="str">
            <v>WTL/TFC/071008</v>
          </cell>
          <cell r="C122" t="str">
            <v>WORLDCALL TELECOM LTD. - TFC (07-10-08)</v>
          </cell>
          <cell r="D122">
            <v>41221</v>
          </cell>
          <cell r="E122" t="str">
            <v>Non-Traded</v>
          </cell>
          <cell r="F122" t="str">
            <v>A/C to NPA</v>
          </cell>
        </row>
        <row r="123">
          <cell r="B123">
            <v>0</v>
          </cell>
          <cell r="C123">
            <v>0</v>
          </cell>
          <cell r="D123">
            <v>0</v>
          </cell>
          <cell r="E123">
            <v>0</v>
          </cell>
          <cell r="F123">
            <v>0</v>
          </cell>
        </row>
        <row r="124">
          <cell r="B124">
            <v>0</v>
          </cell>
          <cell r="C124">
            <v>0</v>
          </cell>
          <cell r="D124">
            <v>0</v>
          </cell>
          <cell r="E124">
            <v>0</v>
          </cell>
        </row>
        <row r="125">
          <cell r="B125">
            <v>0</v>
          </cell>
          <cell r="C125">
            <v>0</v>
          </cell>
          <cell r="D125">
            <v>0</v>
          </cell>
          <cell r="E125">
            <v>0</v>
          </cell>
        </row>
        <row r="126">
          <cell r="B126">
            <v>0</v>
          </cell>
          <cell r="C126">
            <v>0</v>
          </cell>
          <cell r="D126">
            <v>0</v>
          </cell>
          <cell r="E126">
            <v>0</v>
          </cell>
        </row>
        <row r="127">
          <cell r="B127">
            <v>0</v>
          </cell>
          <cell r="C127">
            <v>0</v>
          </cell>
          <cell r="D127">
            <v>0</v>
          </cell>
          <cell r="E127">
            <v>0</v>
          </cell>
        </row>
        <row r="128">
          <cell r="B128">
            <v>0</v>
          </cell>
          <cell r="C128">
            <v>0</v>
          </cell>
          <cell r="D128">
            <v>0</v>
          </cell>
          <cell r="E128">
            <v>0</v>
          </cell>
        </row>
        <row r="129">
          <cell r="B129">
            <v>0</v>
          </cell>
          <cell r="C129">
            <v>0</v>
          </cell>
          <cell r="D129">
            <v>0</v>
          </cell>
          <cell r="E129">
            <v>0</v>
          </cell>
        </row>
        <row r="130">
          <cell r="B130">
            <v>0</v>
          </cell>
          <cell r="C130">
            <v>0</v>
          </cell>
          <cell r="D130">
            <v>0</v>
          </cell>
          <cell r="E130">
            <v>0</v>
          </cell>
        </row>
        <row r="131">
          <cell r="B131">
            <v>0</v>
          </cell>
          <cell r="C131">
            <v>0</v>
          </cell>
          <cell r="D131">
            <v>0</v>
          </cell>
          <cell r="E131">
            <v>0</v>
          </cell>
        </row>
        <row r="132">
          <cell r="B132">
            <v>0</v>
          </cell>
          <cell r="C132">
            <v>0</v>
          </cell>
          <cell r="D132">
            <v>0</v>
          </cell>
          <cell r="E132">
            <v>0</v>
          </cell>
        </row>
        <row r="133">
          <cell r="B133">
            <v>0</v>
          </cell>
          <cell r="C133">
            <v>0</v>
          </cell>
          <cell r="D133">
            <v>0</v>
          </cell>
          <cell r="E133">
            <v>0</v>
          </cell>
        </row>
        <row r="134">
          <cell r="B134">
            <v>0</v>
          </cell>
          <cell r="C134">
            <v>0</v>
          </cell>
          <cell r="D134">
            <v>0</v>
          </cell>
          <cell r="E134">
            <v>0</v>
          </cell>
        </row>
        <row r="135">
          <cell r="B135">
            <v>0</v>
          </cell>
          <cell r="C135">
            <v>0</v>
          </cell>
          <cell r="D135">
            <v>0</v>
          </cell>
          <cell r="E135">
            <v>0</v>
          </cell>
        </row>
        <row r="136">
          <cell r="B136">
            <v>0</v>
          </cell>
          <cell r="C136">
            <v>0</v>
          </cell>
          <cell r="D136">
            <v>0</v>
          </cell>
          <cell r="E136">
            <v>0</v>
          </cell>
        </row>
        <row r="137">
          <cell r="B137">
            <v>0</v>
          </cell>
          <cell r="C137">
            <v>0</v>
          </cell>
          <cell r="D137" t="str">
            <v xml:space="preserve"> Sep 29, 2020 (Prices will change on daily Basis)                    </v>
          </cell>
          <cell r="E137">
            <v>0</v>
          </cell>
        </row>
        <row r="138">
          <cell r="B138">
            <v>0</v>
          </cell>
          <cell r="C138">
            <v>0</v>
          </cell>
          <cell r="D138" t="str">
            <v xml:space="preserve">Sep 21, 2020 to Oct 2, 2020                                                         </v>
          </cell>
          <cell r="E138">
            <v>0</v>
          </cell>
        </row>
        <row r="139">
          <cell r="B139">
            <v>0</v>
          </cell>
          <cell r="C139" t="str">
            <v>(Page updated Sep 29, 2020 at 3:00 p.m.)</v>
          </cell>
          <cell r="D139">
            <v>0</v>
          </cell>
          <cell r="E139">
            <v>0</v>
          </cell>
        </row>
        <row r="140">
          <cell r="B140">
            <v>0</v>
          </cell>
          <cell r="C140">
            <v>0</v>
          </cell>
          <cell r="D140">
            <v>0</v>
          </cell>
          <cell r="E140">
            <v>0</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rchase"/>
      <sheetName val="sale"/>
      <sheetName val="others"/>
      <sheetName val="INCOME 2004"/>
      <sheetName val="PUR&amp;SAL"/>
      <sheetName val="INCOME_2004"/>
      <sheetName val="recn"/>
      <sheetName val="AL905"/>
      <sheetName val="Note 6- 11"/>
      <sheetName val="Deferred Liner"/>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
      <sheetName val="Balance-Sheet"/>
      <sheetName val="P&amp;L-P&amp;LApp."/>
      <sheetName val="Revenue-Fire-Marine-Motor"/>
      <sheetName val="Cash Flow"/>
      <sheetName val="Equity"/>
      <sheetName val="Notes 1to7"/>
      <sheetName val="Note 8-10"/>
      <sheetName val="Note 11&amp;11.1"/>
      <sheetName val="Notes 12-15"/>
      <sheetName val="Note 16"/>
      <sheetName val="Note 17-19"/>
      <sheetName val="Classified Summary of Assets"/>
      <sheetName val="Investments"/>
      <sheetName val="Revenue_Fire_Marine_Motor"/>
      <sheetName val="P&amp;L-P&amp;LApp_"/>
      <sheetName val="Cash_Flow"/>
      <sheetName val="Notes_1to7"/>
      <sheetName val="Note_8-10"/>
      <sheetName val="Note_11&amp;11_1"/>
      <sheetName val="Notes_12-15"/>
      <sheetName val="Note_16"/>
      <sheetName val="Note_17-19"/>
      <sheetName val="Classified_Summary_of_Assets"/>
      <sheetName val="Lead"/>
      <sheetName val="Links"/>
      <sheetName val="acct"/>
      <sheetName val="AT&amp;T"/>
      <sheetName val="AT&amp;T Canada"/>
      <sheetName val="Bell Nexxia"/>
      <sheetName val="Global Crossing revised"/>
      <sheetName val="Sprint"/>
      <sheetName val="NORMAL"/>
      <sheetName val="Credit Risk _CR2_"/>
      <sheetName val="A"/>
      <sheetName val="furniture"/>
      <sheetName val="PUR&amp;SAL"/>
      <sheetName val="Actualization_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 Dhabi"/>
      <sheetName val="Dubai"/>
      <sheetName val="UK"/>
      <sheetName val="Bahrain"/>
      <sheetName val="YEMEN"/>
      <sheetName val="AREA-TOTALS"/>
      <sheetName val="BS-US$"/>
      <sheetName val="Sheet1"/>
      <sheetName val="Sheet2"/>
      <sheetName val="DEC-05"/>
      <sheetName val="LS-UAE"/>
      <sheetName val="Note 9.2.4-9.2.7"/>
      <sheetName val="Abu_Dhabi"/>
      <sheetName val="Abu_Dhabi1"/>
      <sheetName val="Tables"/>
      <sheetName val="BS-OVS"/>
      <sheetName val="BSDOMOVS"/>
      <sheetName val="A-C CODE &amp; NAME"/>
      <sheetName val="Lookups"/>
      <sheetName val="1-bwb(cb)"/>
      <sheetName val="Abu_Dhabi2"/>
      <sheetName val="Note_9_2_4-9_2_7"/>
      <sheetName val="A-C_CODE_&amp;_NAME"/>
      <sheetName val="Summary"/>
      <sheetName val="CIBG Budget KPIs"/>
      <sheetName val="Budget 2015"/>
      <sheetName val="TFCs"/>
      <sheetName val="T Bills "/>
      <sheetName val="PIBs"/>
      <sheetName val="Conventional BS"/>
      <sheetName val="WorkSheet"/>
      <sheetName val="PiB"/>
      <sheetName val="T bills"/>
      <sheetName val="Sheet3"/>
      <sheetName val="TFC"/>
      <sheetName val="Data"/>
      <sheetName val="I-B"/>
      <sheetName val="P&amp;L Commentary"/>
      <sheetName val="Abu_Dhabi3"/>
      <sheetName val="Note_9_2_4-9_2_71"/>
      <sheetName val="A-C_CODE_&amp;_NAME1"/>
      <sheetName val="deposit"/>
      <sheetName val="FX_130"/>
      <sheetName val="Template"/>
      <sheetName val="Parameter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UAE"/>
      <sheetName val="LS-UK"/>
      <sheetName val="0"/>
      <sheetName val="PIB&amp;A.G.ZURICH"/>
      <sheetName val="LS-OTHERS"/>
      <sheetName val="Sheet1"/>
      <sheetName val="LS-TOTAL"/>
      <sheetName val="a"/>
      <sheetName val="LS_UAE"/>
      <sheetName val="#REF"/>
      <sheetName val="PKRV"/>
      <sheetName val="BSDOMOVS"/>
      <sheetName val="Abu Dhabi"/>
      <sheetName val="5 TO 36"/>
      <sheetName val="BS"/>
      <sheetName val="FF"/>
      <sheetName val="PIB&amp;A_G_ZURICH"/>
      <sheetName val="PIB&amp;A_G_ZURICH1"/>
      <sheetName val="Balance sheet UAE"/>
      <sheetName val="Maturity profile assump"/>
      <sheetName val="Furniture"/>
      <sheetName val="Tables"/>
      <sheetName val="Rating"/>
      <sheetName val="34-38.2"/>
      <sheetName val="PIB&amp;A_G_ZURICH2"/>
      <sheetName val="Abu_Dhabi"/>
      <sheetName val="5_TO_36"/>
      <sheetName val="Note 9.2.4-9.2.7"/>
      <sheetName val="II- INV CO"/>
      <sheetName val="30-34"/>
      <sheetName val="15-16"/>
      <sheetName val="Sum"/>
      <sheetName val="I-B"/>
      <sheetName val="I-B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9.7-9.8"/>
      <sheetName val="Liabiliteis"/>
      <sheetName val="AnnexureA"/>
      <sheetName val="Assets"/>
      <sheetName val="SBP-Staggering"/>
      <sheetName val="Balancesheet"/>
      <sheetName val="P&amp;L"/>
      <sheetName val="Notes7-8"/>
      <sheetName val="Notes 9-10"/>
      <sheetName val="Notes7-8 (2)"/>
      <sheetName val="Notes 9-10 (2)"/>
      <sheetName val="Investment"/>
      <sheetName val="Sheet2"/>
      <sheetName val="Notes 1-6"/>
      <sheetName val="BS"/>
      <sheetName val="Other Assets Notes"/>
      <sheetName val="Notes10.1"/>
      <sheetName val="Sheet5"/>
      <sheetName val="notes 5-6000"/>
      <sheetName val="Stat-Equity"/>
      <sheetName val="A"/>
      <sheetName val="Note6-8.2"/>
      <sheetName val="Note_9_7-9_8"/>
      <sheetName val="Notes_9-10"/>
      <sheetName val="Notes7-8_(2)"/>
      <sheetName val="Notes_9-10_(2)"/>
      <sheetName val="Notes_1-6"/>
      <sheetName val="Other_Assets_Notes"/>
      <sheetName val="Notes10_1"/>
      <sheetName val="notes_5-6000"/>
      <sheetName val="Note6-8_2"/>
      <sheetName val="Regular"/>
      <sheetName val="Note_9_7-9_81"/>
      <sheetName val="Notes_9-101"/>
      <sheetName val="Notes7-8_(2)1"/>
      <sheetName val="Notes_9-10_(2)1"/>
      <sheetName val="Notes_1-61"/>
      <sheetName val="Other_Assets_Notes1"/>
      <sheetName val="Notes10_11"/>
      <sheetName val="notes_5-60001"/>
      <sheetName val="Note6-8_21"/>
      <sheetName val="Note_9_7-9_83"/>
      <sheetName val="Notes_9-103"/>
      <sheetName val="Notes7-8_(2)3"/>
      <sheetName val="Notes_9-10_(2)3"/>
      <sheetName val="Notes_1-63"/>
      <sheetName val="Other_Assets_Notes3"/>
      <sheetName val="Notes10_13"/>
      <sheetName val="notes_5-60003"/>
      <sheetName val="Note6-8_23"/>
      <sheetName val="Note_9_7-9_82"/>
      <sheetName val="Notes_9-102"/>
      <sheetName val="Notes7-8_(2)2"/>
      <sheetName val="Notes_9-10_(2)2"/>
      <sheetName val="Notes_1-62"/>
      <sheetName val="Other_Assets_Notes2"/>
      <sheetName val="Notes10_12"/>
      <sheetName val="notes_5-60002"/>
      <sheetName val="Note6-8_22"/>
      <sheetName val="note 4,5"/>
      <sheetName val="Lookups"/>
      <sheetName val="Donations(8)"/>
      <sheetName val="LEDGER"/>
      <sheetName val="TRIAL"/>
      <sheetName val="Index-A"/>
      <sheetName val="Note_9_7-9_84"/>
      <sheetName val="Notes_9-104"/>
      <sheetName val="Notes7-8_(2)4"/>
      <sheetName val="Notes_9-10_(2)4"/>
      <sheetName val="Notes_1-64"/>
      <sheetName val="Other_Assets_Notes4"/>
      <sheetName val="Notes10_14"/>
      <sheetName val="notes_5-60004"/>
      <sheetName val="Note6-8_24"/>
      <sheetName val="Assumptions"/>
      <sheetName val="Links"/>
      <sheetName val="Corporate"/>
      <sheetName val="Middle Market"/>
      <sheetName val="SME"/>
      <sheetName val="Scoping"/>
      <sheetName val="INV"/>
      <sheetName val="Parameters"/>
      <sheetName val="note_4,5"/>
      <sheetName val="Parameter"/>
      <sheetName val="MTPF July 2015"/>
      <sheetName val="GL Breakup"/>
      <sheetName val="GIE Breakup"/>
      <sheetName val="Data"/>
      <sheetName val="AC GL Avg Balances"/>
      <sheetName val="total p&amp;l"/>
      <sheetName val="toyota pl ckd"/>
      <sheetName val="Note_9_7-9_85"/>
      <sheetName val="Notes_9-105"/>
      <sheetName val="Notes7-8_(2)5"/>
      <sheetName val="Notes_9-10_(2)5"/>
      <sheetName val="Notes_1-65"/>
      <sheetName val="Other_Assets_Notes5"/>
      <sheetName val="Notes10_15"/>
      <sheetName val="notes_5-60005"/>
      <sheetName val="Note6-8_25"/>
      <sheetName val="Middle_Market"/>
      <sheetName val="total_p&amp;l"/>
      <sheetName val="toyota_pl_ckd"/>
      <sheetName val="notes1-5"/>
      <sheetName val="RC-0997"/>
      <sheetName val="Note_9_7-9_87"/>
      <sheetName val="Notes_9-107"/>
      <sheetName val="Notes7-8_(2)7"/>
      <sheetName val="Notes_9-10_(2)7"/>
      <sheetName val="Notes_1-67"/>
      <sheetName val="Other_Assets_Notes7"/>
      <sheetName val="Notes10_17"/>
      <sheetName val="notes_5-60007"/>
      <sheetName val="Note6-8_27"/>
      <sheetName val="note_4,52"/>
      <sheetName val="Middle_Market2"/>
      <sheetName val="total_p&amp;l2"/>
      <sheetName val="toyota_pl_ckd2"/>
      <sheetName val="Note_9_7-9_86"/>
      <sheetName val="Notes_9-106"/>
      <sheetName val="Notes7-8_(2)6"/>
      <sheetName val="Notes_9-10_(2)6"/>
      <sheetName val="Notes_1-66"/>
      <sheetName val="Other_Assets_Notes6"/>
      <sheetName val="Notes10_16"/>
      <sheetName val="notes_5-60006"/>
      <sheetName val="Note6-8_26"/>
      <sheetName val="note_4,51"/>
      <sheetName val="Middle_Market1"/>
      <sheetName val="total_p&amp;l1"/>
      <sheetName val="toyota_pl_ckd1"/>
      <sheetName val="Sheet1 "/>
      <sheetName val="Lead"/>
      <sheetName val="3_2"/>
      <sheetName val="ACC LIST"/>
    </sheetNames>
    <sheetDataSet>
      <sheetData sheetId="0" refreshError="1"/>
      <sheetData sheetId="1">
        <row r="604">
          <cell r="Q604">
            <v>261393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ow r="604">
          <cell r="Q604">
            <v>261393</v>
          </cell>
        </row>
        <row r="605">
          <cell r="Q605">
            <v>655246</v>
          </cell>
        </row>
        <row r="606">
          <cell r="Q606">
            <v>432000</v>
          </cell>
        </row>
        <row r="607">
          <cell r="Q607">
            <v>2412885</v>
          </cell>
        </row>
        <row r="608">
          <cell r="Q608">
            <v>4603679</v>
          </cell>
        </row>
        <row r="609">
          <cell r="Q609">
            <v>190777</v>
          </cell>
        </row>
        <row r="610">
          <cell r="Q610">
            <v>1447095</v>
          </cell>
        </row>
        <row r="611">
          <cell r="Q611">
            <v>10003075</v>
          </cell>
        </row>
        <row r="615">
          <cell r="Q615">
            <v>5451937</v>
          </cell>
        </row>
        <row r="616">
          <cell r="Q616">
            <v>4011652</v>
          </cell>
        </row>
        <row r="617">
          <cell r="Q617">
            <v>51183</v>
          </cell>
        </row>
        <row r="618">
          <cell r="Q618">
            <v>232240</v>
          </cell>
        </row>
        <row r="619">
          <cell r="Q619">
            <v>14118</v>
          </cell>
        </row>
        <row r="621">
          <cell r="Q621">
            <v>9761130</v>
          </cell>
        </row>
        <row r="623">
          <cell r="Q623">
            <v>241945</v>
          </cell>
        </row>
        <row r="627">
          <cell r="Q627">
            <v>1166667</v>
          </cell>
        </row>
        <row r="628">
          <cell r="Q628">
            <v>74262</v>
          </cell>
        </row>
        <row r="629">
          <cell r="Q629">
            <v>-998702</v>
          </cell>
        </row>
        <row r="630">
          <cell r="Q630">
            <v>-282</v>
          </cell>
        </row>
        <row r="631">
          <cell r="Q631">
            <v>241945</v>
          </cell>
        </row>
        <row r="634">
          <cell r="Q634">
            <v>1665541</v>
          </cell>
        </row>
        <row r="636">
          <cell r="Q636">
            <v>813488</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ow r="604">
          <cell r="Q604">
            <v>261393</v>
          </cell>
        </row>
      </sheetData>
      <sheetData sheetId="66">
        <row r="604">
          <cell r="Q604">
            <v>261393</v>
          </cell>
        </row>
      </sheetData>
      <sheetData sheetId="67">
        <row r="604">
          <cell r="Q604">
            <v>261393</v>
          </cell>
        </row>
      </sheetData>
      <sheetData sheetId="68">
        <row r="604">
          <cell r="Q604">
            <v>261393</v>
          </cell>
        </row>
      </sheetData>
      <sheetData sheetId="69">
        <row r="604">
          <cell r="Q604">
            <v>261393</v>
          </cell>
        </row>
      </sheetData>
      <sheetData sheetId="70">
        <row r="604">
          <cell r="Q604">
            <v>261393</v>
          </cell>
        </row>
      </sheetData>
      <sheetData sheetId="71">
        <row r="604">
          <cell r="Q604">
            <v>261393</v>
          </cell>
        </row>
      </sheetData>
      <sheetData sheetId="72">
        <row r="604">
          <cell r="Q604">
            <v>261393</v>
          </cell>
        </row>
      </sheetData>
      <sheetData sheetId="73">
        <row r="604">
          <cell r="Q604">
            <v>261393</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604">
          <cell r="Q604">
            <v>261393</v>
          </cell>
        </row>
      </sheetData>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24.bin"/><Relationship Id="rId4" Type="http://schemas.openxmlformats.org/officeDocument/2006/relationships/comments" Target="../comments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3.vml"/><Relationship Id="rId7" Type="http://schemas.openxmlformats.org/officeDocument/2006/relationships/image" Target="../media/image15.emf"/><Relationship Id="rId2" Type="http://schemas.openxmlformats.org/officeDocument/2006/relationships/drawing" Target="../drawings/drawing7.xml"/><Relationship Id="rId1" Type="http://schemas.openxmlformats.org/officeDocument/2006/relationships/printerSettings" Target="../printerSettings/printerSettings32.bin"/><Relationship Id="rId6" Type="http://schemas.openxmlformats.org/officeDocument/2006/relationships/oleObject" Target="../embeddings/oleObject2.bin"/><Relationship Id="rId11" Type="http://schemas.openxmlformats.org/officeDocument/2006/relationships/image" Target="../media/image17.emf"/><Relationship Id="rId5" Type="http://schemas.openxmlformats.org/officeDocument/2006/relationships/image" Target="../media/image14.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16.emf"/></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V63"/>
  <sheetViews>
    <sheetView view="pageBreakPreview" topLeftCell="A4" zoomScaleNormal="100" zoomScaleSheetLayoutView="100" workbookViewId="0">
      <selection activeCell="AI22" sqref="AI22"/>
    </sheetView>
  </sheetViews>
  <sheetFormatPr defaultColWidth="9" defaultRowHeight="12"/>
  <cols>
    <col min="1" max="1" width="5.125" style="1727" customWidth="1"/>
    <col min="2" max="2" width="3.625" style="1727" customWidth="1"/>
    <col min="3" max="3" width="41.625" style="1727" customWidth="1"/>
    <col min="4" max="4" width="5.625" style="1727" customWidth="1"/>
    <col min="5" max="5" width="5.625" style="1741" customWidth="1"/>
    <col min="6" max="6" width="10.375" style="1747" customWidth="1"/>
    <col min="7" max="7" width="1.625" style="1926" customWidth="1"/>
    <col min="8" max="8" width="10.375" style="1727" customWidth="1"/>
    <col min="9" max="12" width="15.5" style="1734" hidden="1" customWidth="1"/>
    <col min="13" max="13" width="14.5" style="1727" hidden="1" customWidth="1"/>
    <col min="14" max="14" width="13.5" style="1727" hidden="1" customWidth="1"/>
    <col min="15" max="15" width="16.875" style="1727" hidden="1" customWidth="1"/>
    <col min="16" max="16" width="13.625" style="1727" hidden="1" customWidth="1"/>
    <col min="17" max="20" width="9" style="1727" hidden="1" customWidth="1"/>
    <col min="21" max="21" width="11.875" style="1727" hidden="1" customWidth="1"/>
    <col min="22" max="31" width="0" style="1727" hidden="1" customWidth="1"/>
    <col min="32" max="16384" width="9" style="1727"/>
  </cols>
  <sheetData>
    <row r="1" spans="1:22">
      <c r="A1" s="1743" t="s">
        <v>671</v>
      </c>
      <c r="B1" s="1743"/>
      <c r="C1" s="1743"/>
      <c r="D1" s="1743"/>
      <c r="E1" s="1744"/>
      <c r="F1" s="1675"/>
      <c r="G1" s="1727"/>
    </row>
    <row r="2" spans="1:22">
      <c r="A2" s="1743" t="s">
        <v>1961</v>
      </c>
      <c r="B2" s="1743"/>
      <c r="C2" s="1743"/>
      <c r="D2" s="1743"/>
      <c r="E2" s="1744"/>
      <c r="F2" s="1675"/>
      <c r="G2" s="1727"/>
    </row>
    <row r="3" spans="1:22">
      <c r="A3" s="1743" t="s">
        <v>2456</v>
      </c>
      <c r="B3" s="1743"/>
      <c r="C3" s="1743"/>
      <c r="D3" s="1743"/>
      <c r="E3" s="1744"/>
      <c r="F3" s="1864"/>
      <c r="G3" s="1864"/>
      <c r="H3" s="1926"/>
      <c r="S3" s="1727" t="s">
        <v>672</v>
      </c>
    </row>
    <row r="4" spans="1:22">
      <c r="A4" s="1743"/>
      <c r="B4" s="1743"/>
      <c r="C4" s="1743"/>
      <c r="D4" s="1743"/>
      <c r="E4" s="1744"/>
      <c r="F4" s="2449" t="s">
        <v>1969</v>
      </c>
      <c r="G4" s="2449"/>
      <c r="H4" s="2449" t="s">
        <v>2019</v>
      </c>
      <c r="J4" s="1734">
        <v>74597</v>
      </c>
      <c r="K4" s="1734">
        <v>2969</v>
      </c>
    </row>
    <row r="5" spans="1:22">
      <c r="A5" s="1675"/>
      <c r="F5" s="1837" t="s">
        <v>2457</v>
      </c>
      <c r="G5" s="1837"/>
      <c r="H5" s="1837" t="s">
        <v>2457</v>
      </c>
      <c r="J5" s="1734">
        <v>19598</v>
      </c>
      <c r="K5" s="1734">
        <v>9171.5</v>
      </c>
      <c r="S5" s="1727" t="s">
        <v>673</v>
      </c>
      <c r="U5" s="1926" t="e">
        <f>IS!#REF!</f>
        <v>#REF!</v>
      </c>
    </row>
    <row r="6" spans="1:22">
      <c r="A6" s="1675"/>
      <c r="F6" s="2449" t="s">
        <v>1919</v>
      </c>
      <c r="G6" s="1864"/>
      <c r="H6" s="2449" t="s">
        <v>1916</v>
      </c>
      <c r="I6" s="1838"/>
      <c r="J6" s="1837">
        <f>H12-J5-J4</f>
        <v>381022</v>
      </c>
      <c r="K6" s="1838">
        <v>322</v>
      </c>
      <c r="L6" s="1838"/>
      <c r="M6" s="2867" t="s">
        <v>675</v>
      </c>
      <c r="O6" s="1727" t="s">
        <v>676</v>
      </c>
      <c r="P6" s="1926">
        <f>H11</f>
        <v>156989</v>
      </c>
      <c r="S6" s="1727" t="s">
        <v>677</v>
      </c>
      <c r="U6" s="1926">
        <v>-26208</v>
      </c>
    </row>
    <row r="7" spans="1:22">
      <c r="E7" s="1839" t="s">
        <v>678</v>
      </c>
      <c r="F7" s="2868" t="s">
        <v>707</v>
      </c>
      <c r="G7" s="2869"/>
      <c r="H7" s="2869"/>
      <c r="I7" s="1739"/>
      <c r="J7" s="1739"/>
      <c r="K7" s="1739">
        <v>756</v>
      </c>
      <c r="L7" s="1739"/>
      <c r="M7" s="2867"/>
      <c r="O7" s="1727" t="s">
        <v>679</v>
      </c>
      <c r="P7" s="1926">
        <f>+SUM(M12:M17)</f>
        <v>-69314.761999999988</v>
      </c>
      <c r="U7" s="1926"/>
    </row>
    <row r="8" spans="1:22">
      <c r="E8" s="1839"/>
      <c r="F8" s="2448"/>
      <c r="G8" s="2449"/>
      <c r="H8" s="2449"/>
      <c r="I8" s="1739"/>
      <c r="J8" s="1739"/>
      <c r="K8" s="1739"/>
      <c r="L8" s="1739"/>
      <c r="M8" s="2447"/>
      <c r="P8" s="1926"/>
      <c r="U8" s="1926"/>
    </row>
    <row r="9" spans="1:22">
      <c r="E9" s="1840"/>
      <c r="H9" s="1926"/>
      <c r="O9" s="1727" t="s">
        <v>680</v>
      </c>
      <c r="P9" s="1926">
        <f>+SUM(M23:M27)</f>
        <v>-8585</v>
      </c>
      <c r="S9" s="1727" t="s">
        <v>681</v>
      </c>
      <c r="U9" s="1926" t="e">
        <f>SUM(U5:U7)</f>
        <v>#REF!</v>
      </c>
    </row>
    <row r="10" spans="1:22">
      <c r="A10" s="1675" t="s">
        <v>682</v>
      </c>
      <c r="F10" s="2172"/>
      <c r="H10" s="1926"/>
      <c r="O10" s="1727" t="s">
        <v>683</v>
      </c>
      <c r="P10" s="1926">
        <f>M32</f>
        <v>0</v>
      </c>
      <c r="Q10" s="1747">
        <f>SUM(P6:P10)</f>
        <v>79089.238000000012</v>
      </c>
      <c r="U10" s="1926"/>
      <c r="V10" s="1926">
        <v>84456</v>
      </c>
    </row>
    <row r="11" spans="1:22">
      <c r="A11" s="1685" t="s">
        <v>684</v>
      </c>
      <c r="E11" s="1841">
        <v>6</v>
      </c>
      <c r="F11" s="2804">
        <v>368828</v>
      </c>
      <c r="G11" s="1728"/>
      <c r="H11" s="1787">
        <v>156989</v>
      </c>
      <c r="I11" s="1729"/>
      <c r="J11" s="1917">
        <f>F11-H11</f>
        <v>211839</v>
      </c>
      <c r="K11" s="1917">
        <v>1291192</v>
      </c>
      <c r="L11" s="1917">
        <f>K11-F11</f>
        <v>922364</v>
      </c>
      <c r="M11" s="1926"/>
      <c r="N11" s="1926"/>
      <c r="O11" s="1926" t="s">
        <v>685</v>
      </c>
      <c r="P11" s="1926">
        <f>+F11</f>
        <v>368828</v>
      </c>
      <c r="Q11" s="1926"/>
      <c r="U11" s="1926"/>
    </row>
    <row r="12" spans="1:22">
      <c r="A12" s="1685" t="s">
        <v>686</v>
      </c>
      <c r="E12" s="1841">
        <f>'1-4.1'!A135</f>
        <v>7</v>
      </c>
      <c r="F12" s="2805">
        <v>535342.76199999999</v>
      </c>
      <c r="G12" s="1728"/>
      <c r="H12" s="1731">
        <v>475217</v>
      </c>
      <c r="I12" s="1729"/>
      <c r="J12" s="1917">
        <f>F12-H12</f>
        <v>60125.761999999988</v>
      </c>
      <c r="K12" s="1917">
        <f>57429+411824+736208</f>
        <v>1205461</v>
      </c>
      <c r="L12" s="1917">
        <f>K12-F12</f>
        <v>670118.23800000001</v>
      </c>
      <c r="M12" s="1926">
        <f>+H12-F12</f>
        <v>-60125.761999999988</v>
      </c>
      <c r="N12" s="1926"/>
      <c r="O12" s="1926" t="s">
        <v>1</v>
      </c>
      <c r="P12" s="1926">
        <f>+P11-Q10</f>
        <v>289738.76199999999</v>
      </c>
      <c r="Q12" s="1926"/>
      <c r="S12" s="1727" t="s">
        <v>1</v>
      </c>
      <c r="U12" s="1926" t="e">
        <f>+V10-U9</f>
        <v>#REF!</v>
      </c>
    </row>
    <row r="13" spans="1:22">
      <c r="A13" s="1685" t="s">
        <v>1338</v>
      </c>
      <c r="E13" s="1841"/>
      <c r="F13" s="2805">
        <v>0</v>
      </c>
      <c r="G13" s="1728"/>
      <c r="H13" s="1731">
        <v>2257</v>
      </c>
      <c r="I13" s="1917">
        <f>F13-H13</f>
        <v>-2257</v>
      </c>
      <c r="J13" s="1917"/>
      <c r="K13" s="1917"/>
      <c r="L13" s="1917"/>
      <c r="M13" s="1926"/>
      <c r="N13" s="1926"/>
      <c r="O13" s="1926"/>
      <c r="P13" s="1926"/>
      <c r="Q13" s="1926"/>
      <c r="U13" s="1926"/>
    </row>
    <row r="14" spans="1:22">
      <c r="A14" s="1685" t="s">
        <v>2471</v>
      </c>
      <c r="E14" s="1842"/>
      <c r="F14" s="2805">
        <v>14671</v>
      </c>
      <c r="G14" s="1728"/>
      <c r="H14" s="1731">
        <v>5290</v>
      </c>
      <c r="I14" s="1730">
        <f>1669143.8+11289566.09+70005.19</f>
        <v>13028715.08</v>
      </c>
      <c r="J14" s="1917">
        <f>F14-H14</f>
        <v>9381</v>
      </c>
      <c r="K14" s="1917">
        <f>859+6917+22992</f>
        <v>30768</v>
      </c>
      <c r="L14" s="1917">
        <f>K14-F14</f>
        <v>16097</v>
      </c>
      <c r="M14" s="1926">
        <f>+H14-F14</f>
        <v>-9381</v>
      </c>
      <c r="N14" s="1926"/>
      <c r="O14" s="1926"/>
      <c r="P14" s="1926"/>
      <c r="Q14" s="1926"/>
    </row>
    <row r="15" spans="1:22">
      <c r="A15" s="2871" t="s">
        <v>2458</v>
      </c>
      <c r="B15" s="2871"/>
      <c r="C15" s="2871"/>
      <c r="E15" s="1842"/>
      <c r="F15" s="2805">
        <v>0</v>
      </c>
      <c r="G15" s="1728"/>
      <c r="H15" s="1731">
        <v>4699</v>
      </c>
      <c r="I15" s="1917">
        <f>F15-H15</f>
        <v>-4699</v>
      </c>
      <c r="J15" s="1917"/>
      <c r="K15" s="1917"/>
      <c r="L15" s="1917"/>
      <c r="M15" s="1926"/>
      <c r="N15" s="1926"/>
      <c r="O15" s="1926"/>
      <c r="P15" s="1926"/>
      <c r="Q15" s="1926"/>
    </row>
    <row r="16" spans="1:22">
      <c r="A16" s="2814" t="s">
        <v>1332</v>
      </c>
      <c r="B16" s="2814"/>
      <c r="C16" s="2814"/>
      <c r="E16" s="1842"/>
      <c r="F16" s="2805">
        <v>25000</v>
      </c>
      <c r="G16" s="1728"/>
      <c r="H16" s="1731">
        <v>0</v>
      </c>
      <c r="I16" s="1917">
        <f>F16-H16</f>
        <v>25000</v>
      </c>
      <c r="J16" s="1917"/>
      <c r="K16" s="1917"/>
      <c r="L16" s="1917"/>
      <c r="M16" s="1926"/>
      <c r="N16" s="1926"/>
      <c r="O16" s="1926"/>
      <c r="P16" s="1926"/>
      <c r="Q16" s="1926"/>
    </row>
    <row r="17" spans="1:17">
      <c r="A17" s="1685" t="s">
        <v>1867</v>
      </c>
      <c r="E17" s="1842"/>
      <c r="F17" s="2805">
        <v>3224</v>
      </c>
      <c r="G17" s="1728"/>
      <c r="H17" s="1731">
        <v>3416</v>
      </c>
      <c r="I17" s="1917">
        <f>H17-F17</f>
        <v>192</v>
      </c>
      <c r="J17" s="1917">
        <f>F17-H17</f>
        <v>-192</v>
      </c>
      <c r="K17" s="1917">
        <f>57+111+52+339</f>
        <v>559</v>
      </c>
      <c r="L17" s="1917">
        <f>K17-F17</f>
        <v>-2665</v>
      </c>
      <c r="M17" s="1926">
        <f>+H17-F17</f>
        <v>192</v>
      </c>
      <c r="N17" s="1926"/>
      <c r="O17" s="1926"/>
      <c r="P17" s="1926"/>
      <c r="Q17" s="1926"/>
    </row>
    <row r="18" spans="1:17">
      <c r="A18" s="1685" t="s">
        <v>1395</v>
      </c>
      <c r="E18" s="1843"/>
      <c r="F18" s="2806">
        <v>11748</v>
      </c>
      <c r="G18" s="1728"/>
      <c r="H18" s="2464">
        <v>17470</v>
      </c>
      <c r="I18" s="1868"/>
      <c r="J18" s="1917">
        <f>F18-H18</f>
        <v>-5722</v>
      </c>
      <c r="K18" s="1917"/>
      <c r="L18" s="1917"/>
      <c r="M18" s="1926"/>
      <c r="N18" s="1926"/>
      <c r="O18" s="1926"/>
      <c r="P18" s="1926"/>
      <c r="Q18" s="1926"/>
    </row>
    <row r="19" spans="1:17">
      <c r="A19" s="1816" t="s">
        <v>689</v>
      </c>
      <c r="E19" s="1843"/>
      <c r="F19" s="2369">
        <v>958813.76199999999</v>
      </c>
      <c r="G19" s="1742"/>
      <c r="H19" s="1742">
        <v>665338</v>
      </c>
      <c r="I19" s="1729">
        <f>958814.593</f>
        <v>958814.59299999999</v>
      </c>
      <c r="J19" s="2594">
        <f>F19-I19</f>
        <v>-0.83100000000558794</v>
      </c>
      <c r="K19" s="1729"/>
      <c r="L19" s="1917"/>
      <c r="M19" s="1926"/>
      <c r="N19" s="1926"/>
      <c r="O19" s="1789"/>
      <c r="P19" s="1926"/>
      <c r="Q19" s="1926"/>
    </row>
    <row r="20" spans="1:17">
      <c r="E20" s="1845"/>
      <c r="F20" s="2369"/>
      <c r="G20" s="1742"/>
      <c r="H20" s="1742"/>
      <c r="J20" s="1613">
        <f>J19/1000</f>
        <v>-8.310000000055879E-4</v>
      </c>
      <c r="L20" s="1926"/>
      <c r="M20" s="1926"/>
      <c r="N20" s="1926"/>
      <c r="O20" s="1789"/>
      <c r="P20" s="1926"/>
      <c r="Q20" s="1926"/>
    </row>
    <row r="21" spans="1:17">
      <c r="A21" s="1938" t="s">
        <v>690</v>
      </c>
      <c r="B21" s="1938"/>
      <c r="C21" s="1938"/>
      <c r="E21" s="1846"/>
      <c r="F21" s="2369"/>
      <c r="G21" s="1742"/>
      <c r="H21" s="1742"/>
      <c r="J21" s="1926">
        <f>J20-F19</f>
        <v>-958813.76283100003</v>
      </c>
      <c r="L21" s="1926"/>
      <c r="M21" s="1926"/>
      <c r="N21" s="1926"/>
      <c r="O21" s="1789"/>
      <c r="P21" s="1926"/>
      <c r="Q21" s="1926"/>
    </row>
    <row r="22" spans="1:17">
      <c r="A22" s="1806" t="s">
        <v>2146</v>
      </c>
      <c r="B22" s="1938"/>
      <c r="C22" s="1938"/>
      <c r="E22" s="1846"/>
      <c r="F22" s="2370"/>
      <c r="G22" s="1742"/>
      <c r="H22" s="2157"/>
      <c r="I22" s="1926"/>
      <c r="L22" s="1926"/>
      <c r="M22" s="1926"/>
      <c r="N22" s="1926"/>
      <c r="O22" s="1789"/>
      <c r="P22" s="1926"/>
      <c r="Q22" s="1926"/>
    </row>
    <row r="23" spans="1:17">
      <c r="A23" s="1750" t="s">
        <v>2147</v>
      </c>
      <c r="E23" s="1847">
        <f>'1-4.1'!A406</f>
        <v>8</v>
      </c>
      <c r="F23" s="2368">
        <v>1337</v>
      </c>
      <c r="G23" s="1728"/>
      <c r="H23" s="1731">
        <v>1263</v>
      </c>
      <c r="I23" s="1734">
        <v>1312</v>
      </c>
      <c r="J23" s="1917">
        <f>F23-H23</f>
        <v>74</v>
      </c>
      <c r="L23" s="1926"/>
      <c r="M23" s="1926">
        <f>+F23-H23</f>
        <v>74</v>
      </c>
      <c r="N23" s="1926"/>
      <c r="O23" s="1789"/>
      <c r="P23" s="1926"/>
      <c r="Q23" s="1926"/>
    </row>
    <row r="24" spans="1:17">
      <c r="A24" s="1806" t="s">
        <v>1525</v>
      </c>
      <c r="E24" s="1847"/>
      <c r="F24" s="2368">
        <v>63</v>
      </c>
      <c r="G24" s="1728"/>
      <c r="H24" s="1731">
        <v>48</v>
      </c>
      <c r="I24" s="1926">
        <f>+F23-I23</f>
        <v>25</v>
      </c>
      <c r="J24" s="1917">
        <f>F24-H24</f>
        <v>15</v>
      </c>
      <c r="L24" s="1926"/>
      <c r="M24" s="1926">
        <f>+F24-H24</f>
        <v>15</v>
      </c>
      <c r="N24" s="1926"/>
      <c r="O24" s="1926"/>
      <c r="P24" s="1926"/>
      <c r="Q24" s="1926"/>
    </row>
    <row r="25" spans="1:17">
      <c r="A25" s="1806" t="s">
        <v>2148</v>
      </c>
      <c r="E25" s="1847"/>
      <c r="F25" s="2368">
        <v>38</v>
      </c>
      <c r="G25" s="1728"/>
      <c r="H25" s="2466">
        <v>137</v>
      </c>
      <c r="J25" s="1917">
        <f>F25-H25</f>
        <v>-99</v>
      </c>
      <c r="L25" s="1926"/>
      <c r="M25" s="1926">
        <f>+F25-H25</f>
        <v>-99</v>
      </c>
      <c r="N25" s="1926"/>
      <c r="O25" s="1926"/>
      <c r="P25" s="1926"/>
      <c r="Q25" s="1926"/>
    </row>
    <row r="26" spans="1:17">
      <c r="A26" s="1806" t="s">
        <v>691</v>
      </c>
      <c r="E26" s="1843"/>
      <c r="F26" s="2368">
        <v>2079</v>
      </c>
      <c r="G26" s="1728"/>
      <c r="H26" s="1731">
        <v>2079</v>
      </c>
      <c r="J26" s="1917">
        <f>F26-H26</f>
        <v>0</v>
      </c>
      <c r="L26" s="1926"/>
      <c r="M26" s="1926">
        <f>+F26-H26</f>
        <v>0</v>
      </c>
      <c r="N26" s="1926"/>
      <c r="O26" s="1926"/>
      <c r="P26" s="1926"/>
      <c r="Q26" s="1926"/>
    </row>
    <row r="27" spans="1:17" s="1692" customFormat="1">
      <c r="A27" s="2457" t="s">
        <v>692</v>
      </c>
      <c r="E27" s="1848">
        <f>'1-4.1'!A420</f>
        <v>9</v>
      </c>
      <c r="F27" s="2465">
        <v>23640</v>
      </c>
      <c r="G27" s="1733"/>
      <c r="H27" s="1788">
        <v>32215</v>
      </c>
      <c r="I27" s="1735"/>
      <c r="J27" s="1917">
        <f>F27-H27</f>
        <v>-8575</v>
      </c>
      <c r="K27" s="1735"/>
      <c r="L27" s="1759"/>
      <c r="M27" s="1759">
        <f>+F27-H27</f>
        <v>-8575</v>
      </c>
      <c r="N27" s="1759"/>
      <c r="O27" s="1759"/>
      <c r="P27" s="1759"/>
      <c r="Q27" s="1759"/>
    </row>
    <row r="28" spans="1:17" s="1704" customFormat="1">
      <c r="A28" s="1849" t="s">
        <v>693</v>
      </c>
      <c r="E28" s="1736"/>
      <c r="F28" s="2467">
        <v>27157</v>
      </c>
      <c r="G28" s="1789"/>
      <c r="H28" s="1789">
        <v>35742</v>
      </c>
      <c r="I28" s="1736">
        <f>25846755/1000</f>
        <v>25846.755000000001</v>
      </c>
      <c r="J28" s="1789">
        <f>F28-I28</f>
        <v>1310.244999999999</v>
      </c>
      <c r="K28" s="1736">
        <v>65427</v>
      </c>
      <c r="L28" s="1851">
        <f>K28-F28</f>
        <v>38270</v>
      </c>
      <c r="M28" s="1789"/>
      <c r="N28" s="1789"/>
      <c r="O28" s="1789"/>
      <c r="P28" s="1789"/>
      <c r="Q28" s="1789"/>
    </row>
    <row r="29" spans="1:17">
      <c r="A29" s="1850"/>
      <c r="E29" s="1734"/>
      <c r="F29" s="2369"/>
      <c r="G29" s="1742"/>
      <c r="H29" s="1742"/>
      <c r="L29" s="1926"/>
      <c r="M29" s="1926"/>
      <c r="N29" s="1926"/>
      <c r="O29" s="1926"/>
      <c r="P29" s="1926"/>
      <c r="Q29" s="1926"/>
    </row>
    <row r="30" spans="1:17" s="1704" customFormat="1" ht="12.75" thickBot="1">
      <c r="A30" s="1922" t="s">
        <v>694</v>
      </c>
      <c r="E30" s="1736"/>
      <c r="F30" s="2468">
        <v>931657</v>
      </c>
      <c r="G30" s="1851"/>
      <c r="H30" s="1790">
        <v>629596</v>
      </c>
      <c r="I30" s="2155">
        <v>1349993</v>
      </c>
      <c r="J30" s="1736"/>
      <c r="K30" s="1736"/>
      <c r="L30" s="1789"/>
      <c r="M30" s="1789"/>
      <c r="N30" s="1789">
        <f>+F30-2540</f>
        <v>929117</v>
      </c>
      <c r="O30" s="1789">
        <f>+F30/F38*1000</f>
        <v>55.588345751518432</v>
      </c>
      <c r="P30" s="1789">
        <f>+N30/F38*1000</f>
        <v>55.43679384109555</v>
      </c>
      <c r="Q30" s="1789">
        <f>+P30-O30</f>
        <v>-0.15155191042288152</v>
      </c>
    </row>
    <row r="31" spans="1:17" ht="12.75" thickTop="1">
      <c r="E31" s="1846"/>
      <c r="F31" s="2371"/>
      <c r="G31" s="1728"/>
      <c r="H31" s="1742"/>
      <c r="I31" s="1926">
        <v>21353751</v>
      </c>
      <c r="J31" s="1926"/>
      <c r="K31" s="1926"/>
      <c r="L31" s="1926"/>
      <c r="M31" s="1926"/>
      <c r="N31" s="1926"/>
      <c r="O31" s="1926"/>
      <c r="P31" s="1926"/>
      <c r="Q31" s="1926"/>
    </row>
    <row r="32" spans="1:17" ht="12.75" thickBot="1">
      <c r="A32" s="1675" t="s">
        <v>695</v>
      </c>
      <c r="F32" s="2469">
        <v>931656.94778187922</v>
      </c>
      <c r="G32" s="1728"/>
      <c r="H32" s="2470">
        <v>629596</v>
      </c>
      <c r="I32" s="1925">
        <v>-29672572</v>
      </c>
      <c r="K32" s="1926">
        <f>F32-F30</f>
        <v>-5.2218120777979493E-2</v>
      </c>
      <c r="L32" s="1926"/>
      <c r="M32" s="1926">
        <f>H32-H30</f>
        <v>0</v>
      </c>
      <c r="N32" s="1926"/>
      <c r="O32" s="1926"/>
      <c r="P32" s="1926"/>
      <c r="Q32" s="1926"/>
    </row>
    <row r="33" spans="1:13" ht="12.75" thickTop="1">
      <c r="E33" s="1846"/>
      <c r="F33" s="2172"/>
      <c r="H33" s="1926"/>
      <c r="I33" s="1926">
        <f>SUM(I30:I32)</f>
        <v>-6968828</v>
      </c>
      <c r="J33" s="1926"/>
      <c r="K33" s="1740">
        <f>F32*2%</f>
        <v>18633.138955637583</v>
      </c>
      <c r="L33" s="1926"/>
    </row>
    <row r="34" spans="1:13">
      <c r="A34" s="1675" t="s">
        <v>696</v>
      </c>
      <c r="E34" s="1841">
        <f>'1-4.1'!A458</f>
        <v>10</v>
      </c>
      <c r="F34" s="2171"/>
      <c r="H34" s="1926"/>
      <c r="J34" s="1734" t="s">
        <v>697</v>
      </c>
    </row>
    <row r="35" spans="1:13">
      <c r="A35" s="1675"/>
      <c r="E35" s="1846"/>
      <c r="H35" s="1926"/>
      <c r="J35" s="1737" t="s">
        <v>698</v>
      </c>
    </row>
    <row r="36" spans="1:13">
      <c r="A36" s="1675"/>
      <c r="E36" s="1846"/>
      <c r="F36" s="2869" t="s">
        <v>699</v>
      </c>
      <c r="G36" s="2869"/>
      <c r="H36" s="2869"/>
    </row>
    <row r="37" spans="1:13">
      <c r="H37" s="1926"/>
      <c r="K37" s="1926"/>
    </row>
    <row r="38" spans="1:13" ht="12.75" thickBot="1">
      <c r="A38" s="1675" t="s">
        <v>700</v>
      </c>
      <c r="F38" s="2471">
        <v>16759933.892700002</v>
      </c>
      <c r="G38" s="1917"/>
      <c r="H38" s="2472">
        <v>11680502</v>
      </c>
      <c r="J38" s="1926"/>
      <c r="K38" s="1738">
        <v>2.7328999999999999</v>
      </c>
    </row>
    <row r="39" spans="1:13" ht="12.75" thickTop="1">
      <c r="A39" s="1675"/>
      <c r="F39" s="1699"/>
      <c r="G39" s="1852"/>
      <c r="H39" s="1917"/>
      <c r="I39" s="1926">
        <f>F32-F30</f>
        <v>-5.2218120777979493E-2</v>
      </c>
    </row>
    <row r="41" spans="1:13">
      <c r="F41" s="2869" t="s">
        <v>701</v>
      </c>
      <c r="G41" s="2870"/>
      <c r="H41" s="2870"/>
      <c r="I41" s="2449">
        <f>F30-F32</f>
        <v>5.2218120777979493E-2</v>
      </c>
      <c r="J41" s="1739"/>
      <c r="K41" s="1739"/>
      <c r="L41" s="1739"/>
    </row>
    <row r="43" spans="1:13" ht="12.75" thickBot="1">
      <c r="A43" s="1675" t="s">
        <v>2097</v>
      </c>
      <c r="E43" s="1853"/>
      <c r="F43" s="2473">
        <v>55.588345751518439</v>
      </c>
      <c r="G43" s="1854"/>
      <c r="H43" s="2474">
        <v>53.901499999999999</v>
      </c>
      <c r="M43" s="1727">
        <f>H32/H38*1000</f>
        <v>53.901450468481578</v>
      </c>
    </row>
    <row r="44" spans="1:13" ht="12.75" thickTop="1">
      <c r="M44" s="1740"/>
    </row>
    <row r="46" spans="1:13">
      <c r="A46" s="1727" t="s">
        <v>2561</v>
      </c>
      <c r="G46" s="1727"/>
      <c r="H46" s="1926"/>
      <c r="J46" s="1926">
        <f>F30-F32</f>
        <v>5.2218120777979493E-2</v>
      </c>
    </row>
    <row r="47" spans="1:13">
      <c r="G47" s="1727"/>
      <c r="H47" s="1926"/>
    </row>
    <row r="48" spans="1:13">
      <c r="G48" s="1727"/>
      <c r="H48" s="1926"/>
    </row>
    <row r="49" spans="1:13" s="1692" customFormat="1">
      <c r="A49" s="1922" t="s">
        <v>2106</v>
      </c>
      <c r="B49" s="1929"/>
      <c r="C49" s="1929"/>
      <c r="D49" s="1929"/>
      <c r="E49" s="1929"/>
      <c r="F49" s="1929"/>
      <c r="G49" s="1929"/>
      <c r="H49" s="1929"/>
      <c r="I49" s="1929"/>
    </row>
    <row r="50" spans="1:13" s="1692" customFormat="1">
      <c r="A50" s="1675" t="s">
        <v>2107</v>
      </c>
      <c r="B50" s="1929"/>
      <c r="C50" s="1929"/>
      <c r="D50" s="1929"/>
      <c r="E50" s="1929"/>
      <c r="F50" s="1929"/>
      <c r="G50" s="1929"/>
      <c r="H50" s="1929"/>
      <c r="I50" s="1930"/>
    </row>
    <row r="51" spans="1:13" s="1692" customFormat="1">
      <c r="A51" s="1931"/>
      <c r="B51" s="1931"/>
      <c r="C51" s="1932"/>
      <c r="D51" s="1933"/>
      <c r="E51" s="1932"/>
      <c r="F51" s="1932"/>
      <c r="G51" s="1934"/>
      <c r="H51" s="1934"/>
      <c r="I51" s="1935"/>
    </row>
    <row r="52" spans="1:13" s="1692" customFormat="1">
      <c r="A52" s="1931"/>
      <c r="B52" s="1931"/>
      <c r="C52" s="1932"/>
      <c r="D52" s="1933"/>
      <c r="E52" s="1932"/>
      <c r="F52" s="1932"/>
      <c r="G52" s="1934"/>
      <c r="H52" s="1934"/>
      <c r="I52" s="1935"/>
    </row>
    <row r="53" spans="1:13" s="1692" customFormat="1">
      <c r="A53" s="1931"/>
      <c r="B53" s="1931"/>
      <c r="C53" s="1932"/>
      <c r="D53" s="1933"/>
      <c r="E53" s="1932"/>
      <c r="F53" s="1932"/>
      <c r="G53" s="1934"/>
      <c r="H53" s="1934"/>
      <c r="I53" s="1935"/>
    </row>
    <row r="54" spans="1:13" s="1692" customFormat="1">
      <c r="A54" s="1931"/>
      <c r="B54" s="1931"/>
      <c r="C54" s="1932"/>
      <c r="D54" s="1933"/>
      <c r="E54" s="1932"/>
      <c r="F54" s="1932"/>
      <c r="G54" s="1934"/>
      <c r="H54" s="1934"/>
      <c r="I54" s="1935"/>
    </row>
    <row r="55" spans="1:13" s="1692" customFormat="1">
      <c r="A55" s="1922" t="s">
        <v>2108</v>
      </c>
      <c r="E55" s="1932"/>
      <c r="F55" s="1932"/>
      <c r="G55" s="1936"/>
      <c r="I55" s="1935"/>
    </row>
    <row r="56" spans="1:13" s="1692" customFormat="1">
      <c r="A56" s="1675" t="s">
        <v>2109</v>
      </c>
      <c r="E56" s="1932"/>
      <c r="F56" s="1932"/>
      <c r="G56" s="1937"/>
      <c r="I56" s="1935"/>
    </row>
    <row r="57" spans="1:13">
      <c r="A57" s="2866"/>
      <c r="B57" s="2866"/>
      <c r="C57" s="2866"/>
      <c r="D57" s="2866"/>
      <c r="E57" s="2866"/>
      <c r="F57" s="2866"/>
      <c r="G57" s="2866"/>
      <c r="H57" s="2866"/>
    </row>
    <row r="58" spans="1:13">
      <c r="B58" s="1860"/>
      <c r="C58" s="1860"/>
      <c r="D58" s="1860"/>
      <c r="E58" s="1861"/>
      <c r="F58" s="2446"/>
      <c r="G58" s="1860"/>
      <c r="H58" s="1860"/>
    </row>
    <row r="59" spans="1:13">
      <c r="B59" s="1860"/>
      <c r="C59" s="1860"/>
      <c r="D59" s="1860"/>
      <c r="E59" s="1861"/>
      <c r="F59" s="2446"/>
      <c r="G59" s="1860"/>
      <c r="H59" s="1860"/>
    </row>
    <row r="61" spans="1:13">
      <c r="F61" s="1863">
        <f>+F30-F32</f>
        <v>5.2218120777979493E-2</v>
      </c>
      <c r="G61" s="1863"/>
      <c r="H61" s="1863">
        <f>+H30-H32</f>
        <v>0</v>
      </c>
      <c r="I61" s="1862"/>
      <c r="J61" s="1862"/>
      <c r="K61" s="1862"/>
      <c r="L61" s="1862"/>
      <c r="M61" s="1781"/>
    </row>
    <row r="62" spans="1:13">
      <c r="F62" s="1863"/>
      <c r="G62" s="1863"/>
      <c r="H62" s="1781"/>
      <c r="I62" s="1862"/>
      <c r="J62" s="1862"/>
      <c r="K62" s="1862"/>
      <c r="L62" s="1862"/>
      <c r="M62" s="1781"/>
    </row>
    <row r="63" spans="1:13">
      <c r="F63" s="1863"/>
      <c r="G63" s="1863"/>
      <c r="H63" s="1781"/>
      <c r="I63" s="1862"/>
      <c r="J63" s="1862"/>
      <c r="K63" s="1862"/>
      <c r="L63" s="1862"/>
      <c r="M63" s="1781"/>
    </row>
  </sheetData>
  <mergeCells count="6">
    <mergeCell ref="A57:H57"/>
    <mergeCell ref="M6:M7"/>
    <mergeCell ref="F7:H7"/>
    <mergeCell ref="F36:H36"/>
    <mergeCell ref="F41:H41"/>
    <mergeCell ref="A15:C15"/>
  </mergeCells>
  <printOptions horizontalCentered="1"/>
  <pageMargins left="0.75" right="0.5" top="0.5" bottom="0.4" header="0.54" footer="0.23"/>
  <pageSetup paperSize="9" orientation="portrait" horizontalDpi="4294967295"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AU102"/>
  <sheetViews>
    <sheetView tabSelected="1" view="pageBreakPreview" topLeftCell="D1" zoomScaleNormal="100" zoomScaleSheetLayoutView="100" workbookViewId="0">
      <selection activeCell="I1" sqref="I1:XFD1048576"/>
    </sheetView>
  </sheetViews>
  <sheetFormatPr defaultColWidth="0" defaultRowHeight="12"/>
  <cols>
    <col min="1" max="1" width="5.125" style="1727" customWidth="1"/>
    <col min="2" max="2" width="3.625" style="1727" customWidth="1"/>
    <col min="3" max="3" width="41.625" style="1727" customWidth="1"/>
    <col min="4" max="4" width="5.625" style="1727" customWidth="1"/>
    <col min="5" max="5" width="5.625" style="1741" customWidth="1"/>
    <col min="6" max="6" width="10.375" style="1747" customWidth="1"/>
    <col min="7" max="7" width="0.625" style="1727" customWidth="1"/>
    <col min="8" max="8" width="11.5" style="1926" customWidth="1"/>
    <col min="9" max="9" width="6" style="1926" hidden="1"/>
    <col min="10" max="10" width="9.25" style="1926" hidden="1"/>
    <col min="11" max="11" width="6" style="1926" hidden="1"/>
    <col min="12" max="14" width="9.25" style="1926" hidden="1"/>
    <col min="15" max="15" width="11.25" style="1727" hidden="1"/>
    <col min="16" max="17" width="12.25" style="1727" hidden="1"/>
    <col min="18" max="18" width="10.25" style="1727" hidden="1"/>
    <col min="19" max="19" width="11.25" style="1727" hidden="1"/>
    <col min="20" max="22" width="3.625" style="1727" hidden="1"/>
    <col min="23" max="23" width="8" style="1727" hidden="1"/>
    <col min="24" max="24" width="3.625" style="1727" hidden="1"/>
    <col min="25" max="25" width="8.5" style="1727" hidden="1"/>
    <col min="26" max="27" width="3.625" style="1727" hidden="1"/>
    <col min="28" max="28" width="8.5" style="1727" hidden="1"/>
    <col min="29" max="29" width="3.625" style="1727" hidden="1"/>
    <col min="30" max="30" width="8.5" style="1727" hidden="1"/>
    <col min="31" max="32" width="3.625" style="1727" hidden="1"/>
    <col min="33" max="33" width="9.5" style="1727" hidden="1"/>
    <col min="34" max="34" width="3.625" style="1727" hidden="1"/>
    <col min="35" max="35" width="9.5" style="1727" hidden="1"/>
    <col min="36" max="37" width="3.625" style="1727" hidden="1"/>
    <col min="38" max="38" width="4.5" style="1727" hidden="1"/>
    <col min="39" max="39" width="3.625" style="1727" hidden="1"/>
    <col min="40" max="40" width="4.5" style="1727" hidden="1"/>
    <col min="41" max="42" width="3.625" style="1727" hidden="1"/>
    <col min="43" max="43" width="4.5" style="1727" hidden="1"/>
    <col min="44" max="44" width="3.625" style="1727" hidden="1"/>
    <col min="45" max="45" width="4.5" style="1727" hidden="1"/>
    <col min="46" max="46" width="3.625" style="1727" hidden="1"/>
    <col min="47" max="47" width="15.25" style="1727" hidden="1"/>
    <col min="48" max="16384" width="3.625" style="1727" hidden="1"/>
  </cols>
  <sheetData>
    <row r="1" spans="1:47" ht="12.75" thickTop="1">
      <c r="A1" s="1743" t="s">
        <v>671</v>
      </c>
      <c r="B1" s="1743"/>
      <c r="C1" s="1743"/>
      <c r="D1" s="1743"/>
      <c r="E1" s="1744"/>
      <c r="F1" s="1864"/>
      <c r="G1" s="1743"/>
      <c r="H1" s="2450"/>
      <c r="I1" s="1743"/>
      <c r="J1" s="1727"/>
      <c r="K1" s="1727"/>
      <c r="L1" s="1727"/>
      <c r="M1" s="1743"/>
      <c r="N1" s="1743"/>
      <c r="V1" s="1869"/>
      <c r="W1" s="1870"/>
      <c r="X1" s="1870"/>
      <c r="Y1" s="1870"/>
      <c r="Z1" s="1870"/>
      <c r="AA1" s="1870"/>
      <c r="AB1" s="1870"/>
      <c r="AC1" s="1870"/>
      <c r="AD1" s="1870"/>
      <c r="AE1" s="1870"/>
      <c r="AF1" s="1870"/>
      <c r="AG1" s="1870"/>
      <c r="AH1" s="1870"/>
      <c r="AI1" s="1870"/>
      <c r="AJ1" s="1870"/>
      <c r="AK1" s="1870"/>
      <c r="AL1" s="1870"/>
      <c r="AM1" s="1870"/>
      <c r="AN1" s="1870"/>
      <c r="AO1" s="1870"/>
      <c r="AP1" s="1870"/>
      <c r="AQ1" s="1870"/>
      <c r="AR1" s="1870"/>
      <c r="AS1" s="1871"/>
    </row>
    <row r="2" spans="1:47" ht="12.75" thickBot="1">
      <c r="A2" s="1743" t="s">
        <v>1965</v>
      </c>
      <c r="B2" s="1743"/>
      <c r="C2" s="1743"/>
      <c r="D2" s="1743"/>
      <c r="E2" s="1744"/>
      <c r="F2" s="1864"/>
      <c r="G2" s="1743"/>
      <c r="H2" s="2450"/>
      <c r="I2" s="2932" t="s">
        <v>686</v>
      </c>
      <c r="J2" s="2933"/>
      <c r="K2" s="2933"/>
      <c r="L2" s="2934"/>
      <c r="M2" s="1743"/>
      <c r="N2" s="1743"/>
      <c r="O2" s="2938" t="s">
        <v>797</v>
      </c>
      <c r="P2" s="2939"/>
      <c r="Q2" s="2939"/>
      <c r="R2" s="2940"/>
      <c r="V2" s="2941" t="s">
        <v>1620</v>
      </c>
      <c r="W2" s="2929"/>
      <c r="X2" s="2929"/>
      <c r="Y2" s="2929"/>
      <c r="Z2" s="1730"/>
      <c r="AA2" s="2929" t="s">
        <v>1623</v>
      </c>
      <c r="AB2" s="2929"/>
      <c r="AC2" s="2929"/>
      <c r="AD2" s="2929"/>
      <c r="AE2" s="1730"/>
      <c r="AF2" s="2929" t="s">
        <v>1398</v>
      </c>
      <c r="AG2" s="2929"/>
      <c r="AH2" s="2929"/>
      <c r="AI2" s="2929"/>
      <c r="AJ2" s="1730"/>
      <c r="AK2" s="2929" t="s">
        <v>1624</v>
      </c>
      <c r="AL2" s="2929"/>
      <c r="AM2" s="2929"/>
      <c r="AN2" s="2929"/>
      <c r="AO2" s="1730"/>
      <c r="AP2" s="2929" t="s">
        <v>1625</v>
      </c>
      <c r="AQ2" s="2929"/>
      <c r="AR2" s="2929"/>
      <c r="AS2" s="2930"/>
    </row>
    <row r="3" spans="1:47">
      <c r="A3" s="1743" t="s">
        <v>2459</v>
      </c>
      <c r="B3" s="1743"/>
      <c r="C3" s="1743"/>
      <c r="D3" s="1743"/>
      <c r="E3" s="1744"/>
      <c r="F3" s="1864"/>
      <c r="G3" s="1743"/>
      <c r="H3" s="2450"/>
      <c r="I3" s="1872" t="s">
        <v>798</v>
      </c>
      <c r="J3" s="1873">
        <f>BS!H12</f>
        <v>475217</v>
      </c>
      <c r="K3" s="1767"/>
      <c r="L3" s="1874"/>
      <c r="M3" s="1743"/>
      <c r="N3" s="1743"/>
      <c r="O3" s="1767"/>
      <c r="P3" s="1875"/>
      <c r="Q3" s="1876" t="s">
        <v>798</v>
      </c>
      <c r="R3" s="1909">
        <f>UHF!F8</f>
        <v>2462552</v>
      </c>
      <c r="S3" s="1738"/>
      <c r="V3" s="1877" t="s">
        <v>798</v>
      </c>
      <c r="W3" s="1878">
        <f>'5.3.1'!I55</f>
        <v>811</v>
      </c>
      <c r="X3" s="1879"/>
      <c r="Y3" s="1879"/>
      <c r="Z3" s="1879"/>
      <c r="AA3" s="1879" t="s">
        <v>798</v>
      </c>
      <c r="AB3" s="1878">
        <f>'5.1'!K34</f>
        <v>74795</v>
      </c>
      <c r="AC3" s="1879"/>
      <c r="AD3" s="1879"/>
      <c r="AE3" s="1730"/>
      <c r="AF3" s="1879" t="s">
        <v>798</v>
      </c>
      <c r="AG3" s="1878">
        <f>'5.2.1'!$I$22+'5.3.1'!$I$34</f>
        <v>156233</v>
      </c>
      <c r="AH3" s="1879"/>
      <c r="AI3" s="1879"/>
      <c r="AJ3" s="1730"/>
      <c r="AK3" s="1879" t="s">
        <v>798</v>
      </c>
      <c r="AL3" s="1878">
        <f>'1-4.1'!I978</f>
        <v>0</v>
      </c>
      <c r="AM3" s="1879"/>
      <c r="AN3" s="1879"/>
      <c r="AO3" s="1730"/>
      <c r="AP3" s="1879" t="s">
        <v>798</v>
      </c>
      <c r="AQ3" s="1878">
        <f>'1-4.1'!I979</f>
        <v>0</v>
      </c>
      <c r="AR3" s="1879"/>
      <c r="AS3" s="1880"/>
    </row>
    <row r="4" spans="1:47">
      <c r="B4" s="1743"/>
      <c r="C4" s="1743"/>
      <c r="D4" s="1743"/>
      <c r="E4" s="1744"/>
      <c r="F4" s="1864"/>
      <c r="G4" s="1743"/>
      <c r="H4" s="2450"/>
      <c r="I4" s="1881"/>
      <c r="J4" s="1882"/>
      <c r="K4" s="1769"/>
      <c r="L4" s="1883"/>
      <c r="M4" s="1743"/>
      <c r="N4" s="1743"/>
      <c r="O4" s="1769"/>
      <c r="P4" s="1917"/>
      <c r="Q4" s="1884"/>
      <c r="R4" s="1910"/>
      <c r="S4" s="1738"/>
      <c r="V4" s="1877"/>
      <c r="W4" s="1885"/>
      <c r="X4" s="1879"/>
      <c r="Y4" s="1879"/>
      <c r="Z4" s="1879"/>
      <c r="AA4" s="1879"/>
      <c r="AB4" s="1885"/>
      <c r="AC4" s="1879"/>
      <c r="AD4" s="1879"/>
      <c r="AE4" s="1730"/>
      <c r="AF4" s="1879"/>
      <c r="AG4" s="1885"/>
      <c r="AH4" s="1879"/>
      <c r="AI4" s="1879"/>
      <c r="AJ4" s="1730"/>
      <c r="AK4" s="1879"/>
      <c r="AL4" s="1885"/>
      <c r="AM4" s="1879"/>
      <c r="AN4" s="1879"/>
      <c r="AO4" s="1730"/>
      <c r="AP4" s="1879"/>
      <c r="AQ4" s="1885"/>
      <c r="AR4" s="1879"/>
      <c r="AS4" s="1880"/>
    </row>
    <row r="5" spans="1:47">
      <c r="B5" s="1743"/>
      <c r="C5" s="1743"/>
      <c r="D5" s="1743"/>
      <c r="E5" s="1744"/>
      <c r="F5" s="2877" t="s">
        <v>2277</v>
      </c>
      <c r="G5" s="2877"/>
      <c r="H5" s="2877"/>
      <c r="I5" s="2160"/>
      <c r="J5" s="1882"/>
      <c r="K5" s="1769"/>
      <c r="L5" s="1883"/>
      <c r="M5" s="1743"/>
      <c r="N5" s="1743"/>
      <c r="O5" s="1769"/>
      <c r="P5" s="1917"/>
      <c r="Q5" s="1884"/>
      <c r="R5" s="1910"/>
      <c r="S5" s="1738"/>
      <c r="V5" s="1877"/>
      <c r="W5" s="1885"/>
      <c r="X5" s="1879"/>
      <c r="Y5" s="1879"/>
      <c r="Z5" s="1879"/>
      <c r="AA5" s="1879"/>
      <c r="AB5" s="1885"/>
      <c r="AC5" s="1879"/>
      <c r="AD5" s="1879"/>
      <c r="AE5" s="1730"/>
      <c r="AF5" s="1879"/>
      <c r="AG5" s="1885"/>
      <c r="AH5" s="1879"/>
      <c r="AI5" s="1879"/>
      <c r="AJ5" s="1730"/>
      <c r="AK5" s="1879"/>
      <c r="AL5" s="1885"/>
      <c r="AM5" s="1879"/>
      <c r="AN5" s="1879"/>
      <c r="AO5" s="1730"/>
      <c r="AP5" s="1879"/>
      <c r="AQ5" s="1885"/>
      <c r="AR5" s="1879"/>
      <c r="AS5" s="1880"/>
    </row>
    <row r="6" spans="1:47">
      <c r="D6" s="2460"/>
      <c r="E6" s="1727"/>
      <c r="F6" s="1555" t="s">
        <v>1969</v>
      </c>
      <c r="G6" s="1683"/>
      <c r="H6" s="1555" t="s">
        <v>1969</v>
      </c>
      <c r="I6" s="2161"/>
      <c r="J6" s="1887"/>
      <c r="K6" s="1769"/>
      <c r="L6" s="1768"/>
      <c r="M6" s="1727"/>
      <c r="N6" s="1727"/>
      <c r="O6" s="1769"/>
      <c r="P6" s="1917"/>
      <c r="Q6" s="1884" t="s">
        <v>799</v>
      </c>
      <c r="R6" s="1910">
        <f>BS!H26</f>
        <v>2079</v>
      </c>
      <c r="S6" s="1738"/>
      <c r="V6" s="1877"/>
      <c r="W6" s="1885"/>
      <c r="X6" s="1879" t="s">
        <v>1619</v>
      </c>
      <c r="Y6" s="1879">
        <f>-Lead!O202</f>
        <v>3027</v>
      </c>
      <c r="Z6" s="1879"/>
      <c r="AA6" s="1879"/>
      <c r="AB6" s="1885"/>
      <c r="AC6" s="1879" t="s">
        <v>1619</v>
      </c>
      <c r="AD6" s="1879">
        <f>Lead!K288+Lead!K289</f>
        <v>0</v>
      </c>
      <c r="AE6" s="1730"/>
      <c r="AF6" s="1879"/>
      <c r="AG6" s="1885"/>
      <c r="AH6" s="1879" t="s">
        <v>1619</v>
      </c>
      <c r="AI6" s="1879">
        <f>Lead!K287</f>
        <v>0</v>
      </c>
      <c r="AJ6" s="1730"/>
      <c r="AK6" s="1879"/>
      <c r="AL6" s="1885"/>
      <c r="AM6" s="1879" t="s">
        <v>1619</v>
      </c>
      <c r="AN6" s="1879">
        <f>Lead!P287</f>
        <v>0</v>
      </c>
      <c r="AO6" s="1730"/>
      <c r="AP6" s="1879"/>
      <c r="AQ6" s="1885"/>
      <c r="AR6" s="1879" t="s">
        <v>1626</v>
      </c>
      <c r="AS6" s="1880">
        <f>Lead!U287</f>
        <v>0</v>
      </c>
    </row>
    <row r="7" spans="1:47">
      <c r="D7" s="2460"/>
      <c r="F7" s="2158">
        <v>2021</v>
      </c>
      <c r="G7" s="2159"/>
      <c r="H7" s="2158">
        <v>2020</v>
      </c>
      <c r="I7" s="1917" t="s">
        <v>800</v>
      </c>
      <c r="J7" s="1917">
        <f>+J17-J3-J11-J12-J10</f>
        <v>75809.368999999948</v>
      </c>
      <c r="K7" s="1769"/>
      <c r="L7" s="1768"/>
      <c r="M7" s="1727"/>
      <c r="N7" s="1727"/>
      <c r="O7" s="1769" t="s">
        <v>753</v>
      </c>
      <c r="P7" s="1917">
        <f>-DS!F28</f>
        <v>63768</v>
      </c>
      <c r="Q7" s="1884"/>
      <c r="R7" s="1910"/>
      <c r="S7" s="1738"/>
      <c r="V7" s="1877" t="s">
        <v>1621</v>
      </c>
      <c r="W7" s="1885">
        <f>W9-Y9</f>
        <v>-2216</v>
      </c>
      <c r="X7" s="1879"/>
      <c r="Y7" s="1879"/>
      <c r="Z7" s="1879"/>
      <c r="AA7" s="1879" t="s">
        <v>1621</v>
      </c>
      <c r="AB7" s="1885">
        <f>AB9-AD9</f>
        <v>39936.504999999997</v>
      </c>
      <c r="AC7" s="1879"/>
      <c r="AD7" s="1879"/>
      <c r="AE7" s="1730"/>
      <c r="AF7" s="1879" t="s">
        <v>1621</v>
      </c>
      <c r="AG7" s="1885">
        <f>AG9-AI9</f>
        <v>733.49300000001676</v>
      </c>
      <c r="AH7" s="1879"/>
      <c r="AI7" s="1879"/>
      <c r="AJ7" s="1730"/>
      <c r="AK7" s="1879" t="s">
        <v>1621</v>
      </c>
      <c r="AL7" s="1885">
        <f>AL9-AN9</f>
        <v>0</v>
      </c>
      <c r="AM7" s="1879"/>
      <c r="AN7" s="1879"/>
      <c r="AO7" s="1730"/>
      <c r="AP7" s="1879" t="s">
        <v>1621</v>
      </c>
      <c r="AQ7" s="1885">
        <f>AQ9-AS9</f>
        <v>0</v>
      </c>
      <c r="AR7" s="1879"/>
      <c r="AS7" s="1880"/>
    </row>
    <row r="8" spans="1:47">
      <c r="E8" s="1839"/>
      <c r="F8" s="2869" t="s">
        <v>707</v>
      </c>
      <c r="G8" s="2869"/>
      <c r="H8" s="2869"/>
      <c r="I8" s="1884"/>
      <c r="J8" s="1888"/>
      <c r="K8" s="1769"/>
      <c r="L8" s="1889"/>
      <c r="M8" s="1820"/>
      <c r="N8" s="1820"/>
      <c r="O8" s="1769" t="s">
        <v>780</v>
      </c>
      <c r="P8" s="1917">
        <f>-UHF!F15</f>
        <v>0</v>
      </c>
      <c r="Q8" s="1769"/>
      <c r="R8" s="1768"/>
      <c r="S8" s="1738"/>
      <c r="V8" s="1877"/>
      <c r="W8" s="1885"/>
      <c r="X8" s="1879" t="s">
        <v>809</v>
      </c>
      <c r="Y8" s="1879">
        <f>'5.3.1'!I53</f>
        <v>0</v>
      </c>
      <c r="Z8" s="1879"/>
      <c r="AA8" s="1879"/>
      <c r="AB8" s="1885"/>
      <c r="AC8" s="1879" t="s">
        <v>809</v>
      </c>
      <c r="AD8" s="1879">
        <f>'5.1'!K32</f>
        <v>34858.495000000003</v>
      </c>
      <c r="AE8" s="1730"/>
      <c r="AF8" s="1879"/>
      <c r="AG8" s="1885"/>
      <c r="AH8" s="1879" t="s">
        <v>809</v>
      </c>
      <c r="AI8" s="1879">
        <f>'5.2.1'!$I$20+'5.3.1'!$I$32</f>
        <v>155499.50699999998</v>
      </c>
      <c r="AJ8" s="1730"/>
      <c r="AK8" s="1879"/>
      <c r="AL8" s="1885"/>
      <c r="AM8" s="1879" t="s">
        <v>809</v>
      </c>
      <c r="AN8" s="1879">
        <f>'1-4.1'!D978</f>
        <v>0</v>
      </c>
      <c r="AO8" s="1730"/>
      <c r="AP8" s="1879"/>
      <c r="AQ8" s="1885"/>
      <c r="AR8" s="1879" t="s">
        <v>809</v>
      </c>
      <c r="AS8" s="1880">
        <f>'5.4'!I8</f>
        <v>0</v>
      </c>
    </row>
    <row r="9" spans="1:47" ht="12.75" thickBot="1">
      <c r="E9" s="1839"/>
      <c r="F9" s="2449"/>
      <c r="G9" s="2449"/>
      <c r="H9" s="2449"/>
      <c r="I9" s="1884"/>
      <c r="J9" s="1888"/>
      <c r="K9" s="1769"/>
      <c r="L9" s="1889"/>
      <c r="M9" s="1820"/>
      <c r="N9" s="1820"/>
      <c r="O9" s="1769"/>
      <c r="P9" s="1917"/>
      <c r="Q9" s="1769"/>
      <c r="R9" s="1768"/>
      <c r="S9" s="1738"/>
      <c r="V9" s="1877"/>
      <c r="W9" s="1890">
        <f>W3</f>
        <v>811</v>
      </c>
      <c r="X9" s="1879"/>
      <c r="Y9" s="1890">
        <f>SUM(Y3:Y8)</f>
        <v>3027</v>
      </c>
      <c r="Z9" s="1879"/>
      <c r="AA9" s="1879"/>
      <c r="AB9" s="1890">
        <f>AB3</f>
        <v>74795</v>
      </c>
      <c r="AC9" s="1879"/>
      <c r="AD9" s="1890">
        <f>SUM(AD3:AD8)</f>
        <v>34858.495000000003</v>
      </c>
      <c r="AE9" s="1730"/>
      <c r="AF9" s="1879"/>
      <c r="AG9" s="1890">
        <f>AG3</f>
        <v>156233</v>
      </c>
      <c r="AH9" s="1879"/>
      <c r="AI9" s="1890">
        <f>SUM(AI3:AI8)</f>
        <v>155499.50699999998</v>
      </c>
      <c r="AJ9" s="1730"/>
      <c r="AK9" s="1879"/>
      <c r="AL9" s="1890">
        <f>AL3</f>
        <v>0</v>
      </c>
      <c r="AM9" s="1879"/>
      <c r="AN9" s="1890">
        <f>SUM(AN3:AN8)</f>
        <v>0</v>
      </c>
      <c r="AO9" s="1730"/>
      <c r="AP9" s="1879"/>
      <c r="AQ9" s="1890">
        <f>AQ3</f>
        <v>0</v>
      </c>
      <c r="AR9" s="1879"/>
      <c r="AS9" s="1891">
        <f>SUM(AS3:AS8)</f>
        <v>0</v>
      </c>
    </row>
    <row r="10" spans="1:47">
      <c r="A10" s="1746" t="s">
        <v>1476</v>
      </c>
      <c r="G10" s="2447"/>
      <c r="H10" s="1917"/>
      <c r="I10" s="1769"/>
      <c r="J10" s="1910"/>
      <c r="K10" s="1769"/>
      <c r="L10" s="1910"/>
      <c r="M10" s="1917"/>
      <c r="N10" s="1917"/>
      <c r="O10" s="1769" t="s">
        <v>802</v>
      </c>
      <c r="P10" s="1917">
        <f>+R6-P12</f>
        <v>0</v>
      </c>
      <c r="Q10" s="1884" t="s">
        <v>803</v>
      </c>
      <c r="R10" s="1910">
        <f>UHF!F10</f>
        <v>0</v>
      </c>
      <c r="S10" s="1738"/>
      <c r="V10" s="1877"/>
      <c r="W10" s="1879"/>
      <c r="X10" s="1879"/>
      <c r="Y10" s="1879"/>
      <c r="Z10" s="1879"/>
      <c r="AA10" s="1879"/>
      <c r="AB10" s="1879"/>
      <c r="AC10" s="1879"/>
      <c r="AD10" s="1879"/>
      <c r="AE10" s="1730"/>
      <c r="AF10" s="1879"/>
      <c r="AG10" s="1879"/>
      <c r="AH10" s="1879"/>
      <c r="AI10" s="1879"/>
      <c r="AJ10" s="1730"/>
      <c r="AK10" s="1879"/>
      <c r="AL10" s="1879"/>
      <c r="AM10" s="1879"/>
      <c r="AN10" s="1879"/>
      <c r="AO10" s="1730"/>
      <c r="AP10" s="1879"/>
      <c r="AQ10" s="1879"/>
      <c r="AR10" s="1879"/>
      <c r="AS10" s="1880"/>
    </row>
    <row r="11" spans="1:47">
      <c r="A11" s="1675"/>
      <c r="G11" s="2447"/>
      <c r="H11" s="1917"/>
      <c r="I11" s="1884" t="s">
        <v>804</v>
      </c>
      <c r="J11" s="1917">
        <f>-F16</f>
        <v>-15683.60699999996</v>
      </c>
      <c r="K11" s="1769"/>
      <c r="L11" s="1910"/>
      <c r="M11" s="1917"/>
      <c r="N11" s="1917"/>
      <c r="O11" s="1769" t="s">
        <v>1526</v>
      </c>
      <c r="P11" s="1917">
        <v>0</v>
      </c>
      <c r="Q11" s="1884" t="s">
        <v>805</v>
      </c>
      <c r="R11" s="1910">
        <f>+F12</f>
        <v>23459.133000000038</v>
      </c>
      <c r="S11" s="1738"/>
      <c r="V11" s="1877" t="s">
        <v>1622</v>
      </c>
      <c r="W11" s="1879">
        <f>-Lead!K223</f>
        <v>0</v>
      </c>
      <c r="X11" s="1879"/>
      <c r="Y11" s="1879">
        <f>W7+W11</f>
        <v>-2216</v>
      </c>
      <c r="Z11" s="1879"/>
      <c r="AA11" s="1879" t="s">
        <v>1622</v>
      </c>
      <c r="AB11" s="1879">
        <f>-Lead!K224</f>
        <v>0</v>
      </c>
      <c r="AC11" s="1879"/>
      <c r="AD11" s="1879">
        <f>AB7+AB11</f>
        <v>39936.504999999997</v>
      </c>
      <c r="AE11" s="1730"/>
      <c r="AF11" s="1879" t="s">
        <v>1622</v>
      </c>
      <c r="AG11" s="1879">
        <f>-Lead!K222</f>
        <v>0</v>
      </c>
      <c r="AH11" s="1879"/>
      <c r="AI11" s="1879">
        <f>AG7+AG11</f>
        <v>733.49300000001676</v>
      </c>
      <c r="AJ11" s="1730"/>
      <c r="AK11" s="1879" t="s">
        <v>1622</v>
      </c>
      <c r="AL11" s="1879">
        <f>-Lead!P222</f>
        <v>0</v>
      </c>
      <c r="AM11" s="1879"/>
      <c r="AN11" s="1879">
        <f>AL7+AL11</f>
        <v>0</v>
      </c>
      <c r="AO11" s="1730"/>
      <c r="AP11" s="1879" t="s">
        <v>1622</v>
      </c>
      <c r="AQ11" s="1879">
        <f>-Lead!U222</f>
        <v>0</v>
      </c>
      <c r="AR11" s="1879"/>
      <c r="AS11" s="1880">
        <f>AQ7+AQ11</f>
        <v>0</v>
      </c>
    </row>
    <row r="12" spans="1:47" ht="12.75" thickBot="1">
      <c r="A12" s="1748" t="s">
        <v>2096</v>
      </c>
      <c r="F12" s="1747">
        <v>23459.133000000038</v>
      </c>
      <c r="H12" s="2493">
        <v>13141.637484417481</v>
      </c>
      <c r="I12" s="1884" t="s">
        <v>806</v>
      </c>
      <c r="J12" s="1917">
        <v>0</v>
      </c>
      <c r="K12" s="1769"/>
      <c r="L12" s="1768"/>
      <c r="N12" s="1926">
        <v>43661</v>
      </c>
      <c r="O12" s="1769" t="s">
        <v>807</v>
      </c>
      <c r="P12" s="1917">
        <f>BS!F26</f>
        <v>2079</v>
      </c>
      <c r="Q12" s="1727" t="s">
        <v>808</v>
      </c>
      <c r="R12" s="1910" t="e">
        <f>UHF!F38-Cashflow!R11</f>
        <v>#REF!</v>
      </c>
      <c r="S12" s="1738"/>
      <c r="V12" s="1877"/>
      <c r="W12" s="1879"/>
      <c r="X12" s="1879"/>
      <c r="Y12" s="1879"/>
      <c r="Z12" s="1879"/>
      <c r="AA12" s="1730"/>
      <c r="AB12" s="1730"/>
      <c r="AC12" s="1730"/>
      <c r="AD12" s="1730"/>
      <c r="AE12" s="1730"/>
      <c r="AF12" s="1730"/>
      <c r="AG12" s="1730"/>
      <c r="AH12" s="1730"/>
      <c r="AI12" s="1730"/>
      <c r="AJ12" s="1730"/>
      <c r="AK12" s="1730"/>
      <c r="AL12" s="1730"/>
      <c r="AM12" s="1730"/>
      <c r="AN12" s="1730"/>
      <c r="AO12" s="1730"/>
      <c r="AP12" s="1730"/>
      <c r="AQ12" s="1730"/>
      <c r="AR12" s="1730"/>
      <c r="AS12" s="1892"/>
      <c r="AU12" s="1727">
        <v>42869</v>
      </c>
    </row>
    <row r="13" spans="1:47" ht="12.75" thickBot="1">
      <c r="I13" s="1893"/>
      <c r="J13" s="1917"/>
      <c r="K13" s="1884"/>
      <c r="L13" s="1910"/>
      <c r="O13" s="1769" t="s">
        <v>809</v>
      </c>
      <c r="P13" s="1917">
        <v>2483311</v>
      </c>
      <c r="Q13" s="1884" t="s">
        <v>810</v>
      </c>
      <c r="R13" s="1910" t="e">
        <f>UHF!F43</f>
        <v>#REF!</v>
      </c>
      <c r="S13" s="1738"/>
      <c r="V13" s="1877"/>
      <c r="W13" s="1894" t="s">
        <v>1627</v>
      </c>
      <c r="X13" s="1895"/>
      <c r="Y13" s="1896">
        <f>Y11+AD11+AI11+AN11+AS11</f>
        <v>38453.998000000014</v>
      </c>
      <c r="Z13" s="1879"/>
      <c r="AA13" s="1730"/>
      <c r="AB13" s="1730"/>
      <c r="AC13" s="1730"/>
      <c r="AD13" s="1730"/>
      <c r="AE13" s="1730"/>
      <c r="AF13" s="1730"/>
      <c r="AG13" s="1730"/>
      <c r="AH13" s="1730"/>
      <c r="AI13" s="1730"/>
      <c r="AJ13" s="1730"/>
      <c r="AK13" s="1730"/>
      <c r="AL13" s="1730"/>
      <c r="AM13" s="1730"/>
      <c r="AN13" s="1730"/>
      <c r="AO13" s="1730"/>
      <c r="AP13" s="1730"/>
      <c r="AQ13" s="1730"/>
      <c r="AR13" s="1730"/>
      <c r="AS13" s="1892"/>
    </row>
    <row r="14" spans="1:47" ht="12.75" thickBot="1">
      <c r="A14" s="1675" t="s">
        <v>1617</v>
      </c>
      <c r="I14" s="1893"/>
      <c r="J14" s="1917"/>
      <c r="K14" s="1884"/>
      <c r="L14" s="1910"/>
      <c r="O14" s="1769"/>
      <c r="P14" s="1730"/>
      <c r="Q14" s="1769"/>
      <c r="R14" s="1768"/>
      <c r="S14" s="1738"/>
      <c r="V14" s="1897"/>
      <c r="W14" s="1898"/>
      <c r="X14" s="1898"/>
      <c r="Y14" s="1898"/>
      <c r="Z14" s="1898"/>
      <c r="AA14" s="1899"/>
      <c r="AB14" s="1899"/>
      <c r="AC14" s="1899"/>
      <c r="AD14" s="1899"/>
      <c r="AE14" s="1899"/>
      <c r="AF14" s="1899"/>
      <c r="AG14" s="1899"/>
      <c r="AH14" s="1899"/>
      <c r="AI14" s="1899"/>
      <c r="AJ14" s="1899"/>
      <c r="AK14" s="1899"/>
      <c r="AL14" s="1899"/>
      <c r="AM14" s="1899"/>
      <c r="AN14" s="1899"/>
      <c r="AO14" s="1899"/>
      <c r="AP14" s="1899"/>
      <c r="AQ14" s="1899"/>
      <c r="AR14" s="1899"/>
      <c r="AS14" s="1900"/>
    </row>
    <row r="15" spans="1:47" ht="12.75" thickTop="1">
      <c r="A15" s="1685" t="s">
        <v>2131</v>
      </c>
      <c r="B15" s="1685"/>
      <c r="C15" s="1685"/>
      <c r="D15" s="1685"/>
      <c r="I15" s="1893"/>
      <c r="J15" s="1917"/>
      <c r="K15" s="1884"/>
      <c r="L15" s="1910"/>
      <c r="O15" s="1901"/>
      <c r="P15" s="1907">
        <f>SUM(P3:P13)</f>
        <v>2549158</v>
      </c>
      <c r="Q15" s="1902"/>
      <c r="R15" s="1908">
        <f>+P15</f>
        <v>2549158</v>
      </c>
      <c r="V15" s="1738"/>
      <c r="W15" s="1738"/>
      <c r="X15" s="1738"/>
      <c r="Y15" s="1738"/>
      <c r="Z15" s="1738"/>
    </row>
    <row r="16" spans="1:47">
      <c r="A16" s="1608" t="s">
        <v>2149</v>
      </c>
      <c r="B16" s="1608"/>
      <c r="C16" s="1608"/>
      <c r="D16" s="1608"/>
      <c r="F16" s="1747">
        <v>15683.60699999996</v>
      </c>
      <c r="G16" s="1926"/>
      <c r="H16" s="1926">
        <v>7207.1025155825191</v>
      </c>
      <c r="I16" s="1902"/>
      <c r="J16" s="1907"/>
      <c r="K16" s="1902" t="s">
        <v>811</v>
      </c>
      <c r="L16" s="1903">
        <f>BS!F12</f>
        <v>535342.76199999999</v>
      </c>
      <c r="N16" s="1926">
        <v>4118</v>
      </c>
      <c r="V16" s="1738"/>
      <c r="W16" s="1738"/>
      <c r="X16" s="1738"/>
      <c r="Y16" s="1738"/>
      <c r="Z16" s="1738"/>
      <c r="AU16" s="1727">
        <v>4118</v>
      </c>
    </row>
    <row r="17" spans="1:47" ht="16.5" hidden="1" customHeight="1" thickBot="1">
      <c r="A17" s="1749" t="s">
        <v>1490</v>
      </c>
      <c r="B17" s="2450"/>
      <c r="C17" s="2450"/>
      <c r="D17" s="2450"/>
      <c r="G17" s="1926"/>
      <c r="H17" s="1747"/>
      <c r="J17" s="1926">
        <f>+L17</f>
        <v>535342.76199999999</v>
      </c>
      <c r="K17" s="1884"/>
      <c r="L17" s="1917">
        <f>SUM(L3:L16)</f>
        <v>535342.76199999999</v>
      </c>
      <c r="V17" s="2931" t="s">
        <v>1628</v>
      </c>
      <c r="W17" s="2931"/>
      <c r="X17" s="2931"/>
      <c r="Y17" s="2931"/>
      <c r="Z17" s="1738"/>
    </row>
    <row r="18" spans="1:47" ht="29.45" hidden="1" customHeight="1">
      <c r="A18" s="1750" t="s">
        <v>812</v>
      </c>
      <c r="B18" s="2450"/>
      <c r="C18" s="2450"/>
      <c r="D18" s="2450"/>
      <c r="G18" s="1926"/>
      <c r="H18" s="1747"/>
      <c r="K18" s="1917"/>
      <c r="L18" s="1917"/>
      <c r="V18" s="1738" t="s">
        <v>1629</v>
      </c>
      <c r="W18" s="1904">
        <f>BS!H14</f>
        <v>5290</v>
      </c>
      <c r="X18" s="1738"/>
      <c r="Y18" s="1738"/>
      <c r="Z18" s="1738"/>
    </row>
    <row r="19" spans="1:47" ht="18.95" hidden="1" customHeight="1">
      <c r="A19" s="1751" t="s">
        <v>736</v>
      </c>
      <c r="C19" s="2450"/>
      <c r="D19" s="2450"/>
      <c r="G19" s="1926"/>
      <c r="K19" s="1917"/>
      <c r="L19" s="1917"/>
      <c r="V19" s="1738"/>
      <c r="W19" s="1905"/>
      <c r="X19" s="1738"/>
      <c r="Y19" s="1738"/>
      <c r="Z19" s="1738"/>
    </row>
    <row r="20" spans="1:47" ht="16.5" hidden="1" customHeight="1">
      <c r="A20" s="1751" t="s">
        <v>1618</v>
      </c>
      <c r="C20" s="2450"/>
      <c r="D20" s="2450"/>
      <c r="G20" s="1926"/>
      <c r="K20" s="1917"/>
      <c r="L20" s="1917"/>
      <c r="V20" s="1738" t="s">
        <v>1630</v>
      </c>
      <c r="W20" s="1905"/>
      <c r="X20" s="1738"/>
      <c r="Y20" s="1738"/>
      <c r="Z20" s="1738"/>
    </row>
    <row r="21" spans="1:47" ht="3" hidden="1" customHeight="1">
      <c r="A21" s="1727" t="s">
        <v>1864</v>
      </c>
      <c r="G21" s="1926"/>
      <c r="P21" s="1926">
        <v>61533</v>
      </c>
      <c r="Q21" s="1926"/>
      <c r="V21" s="1738" t="s">
        <v>1633</v>
      </c>
      <c r="W21" s="1905">
        <f>-(Lead!K241+Lead!K284+Lead!K239)</f>
        <v>0</v>
      </c>
      <c r="X21" s="1738" t="s">
        <v>1635</v>
      </c>
      <c r="Y21" s="1738">
        <f>W34-Y34</f>
        <v>-9381</v>
      </c>
      <c r="Z21" s="1738"/>
    </row>
    <row r="22" spans="1:47" ht="6.6" hidden="1" customHeight="1">
      <c r="A22" s="1685" t="s">
        <v>1669</v>
      </c>
      <c r="F22" s="1747">
        <v>0</v>
      </c>
      <c r="G22" s="1926"/>
      <c r="H22" s="1926">
        <v>0</v>
      </c>
      <c r="I22" s="2932" t="s">
        <v>687</v>
      </c>
      <c r="J22" s="2933"/>
      <c r="K22" s="2933"/>
      <c r="L22" s="2934"/>
      <c r="N22" s="1926">
        <v>0</v>
      </c>
      <c r="P22" s="1926">
        <v>24754</v>
      </c>
      <c r="Q22" s="1926">
        <f>P21-P22</f>
        <v>36779</v>
      </c>
      <c r="V22" s="1738" t="s">
        <v>1353</v>
      </c>
      <c r="W22" s="1905"/>
      <c r="X22" s="1738" t="s">
        <v>1636</v>
      </c>
      <c r="Y22" s="1738"/>
      <c r="Z22" s="1738"/>
      <c r="AU22" s="1727">
        <v>0</v>
      </c>
    </row>
    <row r="23" spans="1:47" ht="22.5" hidden="1" customHeight="1">
      <c r="A23" s="1752"/>
      <c r="G23" s="1917"/>
      <c r="I23" s="1872"/>
      <c r="J23" s="1873"/>
      <c r="K23" s="1767"/>
      <c r="L23" s="1874"/>
      <c r="V23" s="1738"/>
      <c r="W23" s="1905"/>
      <c r="X23" s="1738"/>
      <c r="Y23" s="1738"/>
      <c r="Z23" s="1738"/>
    </row>
    <row r="24" spans="1:47" hidden="1">
      <c r="A24" s="1685" t="s">
        <v>1864</v>
      </c>
      <c r="G24" s="1917"/>
      <c r="I24" s="1881"/>
      <c r="J24" s="1882"/>
      <c r="K24" s="1769"/>
      <c r="L24" s="1883"/>
      <c r="V24" s="1738"/>
      <c r="W24" s="1905"/>
      <c r="X24" s="1738"/>
      <c r="Y24" s="1738"/>
      <c r="Z24" s="1738"/>
    </row>
    <row r="25" spans="1:47">
      <c r="A25" s="1685"/>
      <c r="G25" s="1917"/>
      <c r="I25" s="2942" t="s">
        <v>2310</v>
      </c>
      <c r="J25" s="2943"/>
      <c r="K25" s="2943"/>
      <c r="L25" s="2944"/>
      <c r="V25" s="1738"/>
      <c r="W25" s="1905"/>
      <c r="X25" s="1738"/>
      <c r="Y25" s="1738"/>
      <c r="Z25" s="1738"/>
    </row>
    <row r="26" spans="1:47">
      <c r="F26" s="2372">
        <v>39142.74</v>
      </c>
      <c r="G26" s="1917"/>
      <c r="H26" s="1875">
        <v>20348.739999999998</v>
      </c>
      <c r="I26" s="1886" t="s">
        <v>798</v>
      </c>
      <c r="J26" s="1887">
        <f>BS!H14</f>
        <v>5290</v>
      </c>
      <c r="K26" s="1769"/>
      <c r="L26" s="1768"/>
      <c r="M26" s="1926">
        <f>F16</f>
        <v>15683.60699999996</v>
      </c>
      <c r="N26" s="1875">
        <f>SUM(N12:N22)</f>
        <v>47779</v>
      </c>
      <c r="V26" s="1727" t="s">
        <v>1634</v>
      </c>
      <c r="W26" s="1905"/>
      <c r="AU26" s="1727">
        <v>46987</v>
      </c>
    </row>
    <row r="27" spans="1:47">
      <c r="G27" s="1926"/>
      <c r="I27" s="1893"/>
      <c r="J27" s="1887"/>
      <c r="K27" s="1769"/>
      <c r="L27" s="1768"/>
      <c r="O27" s="1917"/>
      <c r="P27" s="1917"/>
      <c r="Q27" s="1917"/>
      <c r="R27" s="1926"/>
      <c r="W27" s="1905"/>
    </row>
    <row r="28" spans="1:47">
      <c r="A28" s="1675" t="s">
        <v>2481</v>
      </c>
      <c r="G28" s="1926"/>
      <c r="H28" s="1917"/>
      <c r="I28" s="1893"/>
      <c r="J28" s="1888"/>
      <c r="K28" s="1884" t="s">
        <v>809</v>
      </c>
      <c r="L28" s="1906">
        <f>BS!F14</f>
        <v>14671</v>
      </c>
      <c r="M28" s="1926">
        <f>M29+F29</f>
        <v>-378065.36899999995</v>
      </c>
      <c r="O28" s="1747"/>
      <c r="P28" s="1926"/>
      <c r="Q28" s="1926"/>
      <c r="R28" s="1926"/>
      <c r="V28" s="1727" t="s">
        <v>1631</v>
      </c>
      <c r="W28" s="1905"/>
    </row>
    <row r="29" spans="1:47">
      <c r="A29" s="1685" t="s">
        <v>814</v>
      </c>
      <c r="F29" s="2442">
        <v>-75810.368999999948</v>
      </c>
      <c r="G29" s="1926"/>
      <c r="H29" s="2494">
        <v>285977.15312950005</v>
      </c>
      <c r="I29" s="1917"/>
      <c r="J29" s="1917"/>
      <c r="K29" s="1884"/>
      <c r="L29" s="1910"/>
      <c r="M29" s="1926">
        <v>-302255</v>
      </c>
      <c r="N29" s="1926">
        <v>225759</v>
      </c>
      <c r="O29" s="1917"/>
      <c r="P29" s="1917"/>
      <c r="Q29" s="1917"/>
      <c r="R29" s="1926"/>
      <c r="V29" s="1727" t="s">
        <v>1632</v>
      </c>
      <c r="W29" s="1905"/>
      <c r="X29" s="1727" t="s">
        <v>811</v>
      </c>
      <c r="Y29" s="1738">
        <f>BS!F14</f>
        <v>14671</v>
      </c>
      <c r="AU29" s="1727">
        <v>229368</v>
      </c>
    </row>
    <row r="30" spans="1:47">
      <c r="A30" s="1685" t="str">
        <f>BS!A14</f>
        <v>Dividend, profit and other receivable</v>
      </c>
      <c r="F30" s="2374">
        <v>-9381</v>
      </c>
      <c r="G30" s="1926"/>
      <c r="H30" s="1754">
        <v>7656</v>
      </c>
      <c r="I30" s="1907" t="s">
        <v>815</v>
      </c>
      <c r="J30" s="1907">
        <f>+J26-L28</f>
        <v>-9381</v>
      </c>
      <c r="K30" s="1907"/>
      <c r="L30" s="1908"/>
      <c r="N30" s="1926">
        <v>191</v>
      </c>
      <c r="O30" s="1917"/>
      <c r="P30" s="1917"/>
      <c r="Q30" s="1917"/>
      <c r="R30" s="1926"/>
      <c r="W30" s="1905"/>
      <c r="AU30" s="1727">
        <v>191</v>
      </c>
    </row>
    <row r="31" spans="1:47">
      <c r="A31" s="1685" t="s">
        <v>1338</v>
      </c>
      <c r="F31" s="2374">
        <v>2257</v>
      </c>
      <c r="G31" s="1926"/>
      <c r="H31" s="1754">
        <v>-50700</v>
      </c>
      <c r="I31" s="1755" t="s">
        <v>816</v>
      </c>
      <c r="J31" s="1727"/>
      <c r="K31" s="1727"/>
      <c r="L31" s="1727"/>
      <c r="N31" s="1926">
        <v>-152</v>
      </c>
      <c r="Q31" s="1917"/>
      <c r="R31" s="1926"/>
      <c r="W31" s="1868"/>
    </row>
    <row r="32" spans="1:47">
      <c r="A32" s="2803" t="str">
        <f>BS!A15</f>
        <v>Receivables against sale of investment</v>
      </c>
      <c r="F32" s="2374">
        <v>4699</v>
      </c>
      <c r="G32" s="1926"/>
      <c r="H32" s="1754">
        <v>0</v>
      </c>
      <c r="I32" s="1755"/>
      <c r="J32" s="1727"/>
      <c r="K32" s="1727"/>
      <c r="L32" s="1727"/>
      <c r="Q32" s="1917"/>
      <c r="R32" s="1926"/>
      <c r="W32" s="1868"/>
    </row>
    <row r="33" spans="1:47">
      <c r="A33" s="2814" t="str">
        <f>BS!A16</f>
        <v>Advance against subscription of Term Finance Certificate</v>
      </c>
      <c r="F33" s="2374">
        <v>-25000</v>
      </c>
      <c r="G33" s="1926"/>
      <c r="H33" s="1754">
        <v>0</v>
      </c>
      <c r="I33" s="1755"/>
      <c r="J33" s="1727"/>
      <c r="K33" s="1727"/>
      <c r="L33" s="1727"/>
      <c r="Q33" s="1917"/>
      <c r="R33" s="1926"/>
      <c r="W33" s="1868"/>
    </row>
    <row r="34" spans="1:47" ht="12.75" thickBot="1">
      <c r="A34" s="1685" t="s">
        <v>688</v>
      </c>
      <c r="F34" s="2374">
        <v>192</v>
      </c>
      <c r="G34" s="1926"/>
      <c r="H34" s="1754">
        <v>121</v>
      </c>
      <c r="I34" s="1781" t="s">
        <v>817</v>
      </c>
      <c r="J34" s="1917">
        <f>F29+F16</f>
        <v>-60126.761999999988</v>
      </c>
      <c r="K34" s="1917"/>
      <c r="L34" s="1917">
        <f>BS!J12</f>
        <v>60125.761999999988</v>
      </c>
      <c r="M34" s="1926">
        <f>L34+K34</f>
        <v>60125.761999999988</v>
      </c>
      <c r="N34" s="1926">
        <v>22000</v>
      </c>
      <c r="O34" s="1917" t="s">
        <v>780</v>
      </c>
      <c r="P34" s="1917" t="s">
        <v>803</v>
      </c>
      <c r="W34" s="1756">
        <f>SUM(W18:W29)</f>
        <v>5290</v>
      </c>
      <c r="Y34" s="1756">
        <f>SUM(Y29:Y29)</f>
        <v>14671</v>
      </c>
      <c r="AU34" s="1727">
        <v>-152</v>
      </c>
    </row>
    <row r="35" spans="1:47">
      <c r="A35" s="1685" t="str">
        <f>BS!A18</f>
        <v>Receivable from National Clearing Company of Pakistan Limited</v>
      </c>
      <c r="F35" s="2443">
        <v>5722</v>
      </c>
      <c r="G35" s="1926"/>
      <c r="H35" s="2495">
        <v>-30293</v>
      </c>
      <c r="I35" s="1781"/>
      <c r="J35" s="1917"/>
      <c r="K35" s="1917"/>
      <c r="L35" s="1917"/>
      <c r="N35" s="1926">
        <v>21000</v>
      </c>
      <c r="O35" s="1917"/>
      <c r="P35" s="1917"/>
      <c r="Q35" s="1917"/>
      <c r="R35" s="1926"/>
      <c r="AU35" s="1727">
        <v>21000</v>
      </c>
    </row>
    <row r="36" spans="1:47" s="1692" customFormat="1" hidden="1">
      <c r="A36" s="2457" t="s">
        <v>1396</v>
      </c>
      <c r="E36" s="1758"/>
      <c r="F36" s="2799" t="e">
        <v>#REF!</v>
      </c>
      <c r="G36" s="1759"/>
      <c r="H36" s="2466">
        <v>0</v>
      </c>
      <c r="I36" s="1760"/>
      <c r="J36" s="1733"/>
      <c r="K36" s="1733"/>
      <c r="L36" s="1733"/>
      <c r="M36" s="1759"/>
      <c r="N36" s="1759">
        <v>0</v>
      </c>
      <c r="O36" s="1733"/>
      <c r="P36" s="1733"/>
      <c r="Q36" s="1733"/>
      <c r="R36" s="1759"/>
      <c r="AU36" s="1692">
        <v>0</v>
      </c>
    </row>
    <row r="37" spans="1:47">
      <c r="A37" s="1685"/>
      <c r="F37" s="1699">
        <v>-97321.368999999948</v>
      </c>
      <c r="G37" s="1926"/>
      <c r="H37" s="1917">
        <v>212761.15312950005</v>
      </c>
      <c r="I37" s="2935" t="s">
        <v>818</v>
      </c>
      <c r="J37" s="2936"/>
      <c r="K37" s="2936"/>
      <c r="L37" s="2937"/>
      <c r="N37" s="1917">
        <f>SUM(N29:N36)</f>
        <v>268798</v>
      </c>
      <c r="O37" s="1917">
        <v>248411</v>
      </c>
      <c r="P37" s="1917">
        <v>-85647</v>
      </c>
      <c r="Q37" s="1917"/>
      <c r="R37" s="1926"/>
      <c r="AU37" s="1727">
        <v>272407</v>
      </c>
    </row>
    <row r="38" spans="1:47">
      <c r="A38" s="1675" t="s">
        <v>2274</v>
      </c>
      <c r="F38" s="1699"/>
      <c r="G38" s="1926"/>
      <c r="H38" s="1917"/>
      <c r="I38" s="2800" t="s">
        <v>798</v>
      </c>
      <c r="J38" s="1909">
        <f>BS!$H$17</f>
        <v>3416</v>
      </c>
      <c r="K38" s="1876"/>
      <c r="L38" s="1909"/>
      <c r="O38" s="1926">
        <f>+O37+P37</f>
        <v>162764</v>
      </c>
      <c r="P38" s="1917"/>
      <c r="Q38" s="1926"/>
      <c r="R38" s="1917"/>
    </row>
    <row r="39" spans="1:47" hidden="1">
      <c r="A39" s="1675"/>
      <c r="G39" s="1926"/>
      <c r="H39" s="1917"/>
      <c r="I39" s="1769"/>
      <c r="J39" s="1768"/>
      <c r="K39" s="1769"/>
      <c r="L39" s="1768"/>
      <c r="O39" s="1926"/>
      <c r="P39" s="1926"/>
      <c r="Q39" s="1926"/>
      <c r="R39" s="1926"/>
    </row>
    <row r="40" spans="1:47">
      <c r="A40" s="1806" t="str">
        <f>BS!A22</f>
        <v xml:space="preserve">Payable to MCB-Arif Habib Savings and Investments Limited -  </v>
      </c>
      <c r="F40" s="2373"/>
      <c r="G40" s="1926"/>
      <c r="H40" s="1753"/>
      <c r="I40" s="1769"/>
      <c r="J40" s="1768"/>
      <c r="K40" s="1769"/>
      <c r="L40" s="1768"/>
      <c r="M40" s="1917"/>
      <c r="N40" s="1917">
        <v>-1991.1120000000001</v>
      </c>
      <c r="O40" s="1917"/>
      <c r="P40" s="1917"/>
      <c r="Q40" s="1917"/>
      <c r="R40" s="1926"/>
      <c r="AU40" s="1727">
        <v>-1991.1120000000001</v>
      </c>
    </row>
    <row r="41" spans="1:47">
      <c r="A41" s="2379" t="str">
        <f>BS!A23</f>
        <v>Management Company</v>
      </c>
      <c r="F41" s="2374">
        <v>75</v>
      </c>
      <c r="G41" s="1926"/>
      <c r="H41" s="1754">
        <v>1412</v>
      </c>
      <c r="I41" s="1769"/>
      <c r="J41" s="1768"/>
      <c r="K41" s="1769"/>
      <c r="L41" s="1768"/>
      <c r="M41" s="1917"/>
      <c r="N41" s="1917"/>
      <c r="O41" s="1917"/>
      <c r="P41" s="1917"/>
      <c r="Q41" s="1917"/>
      <c r="R41" s="1926"/>
    </row>
    <row r="42" spans="1:47">
      <c r="A42" s="1806" t="str">
        <f>BS!A24</f>
        <v>Payable to Central Depository Company of Pakistan Limited - Trustee</v>
      </c>
      <c r="F42" s="2374">
        <v>15</v>
      </c>
      <c r="G42" s="1926"/>
      <c r="H42" s="1754">
        <v>-5</v>
      </c>
      <c r="I42" s="1769"/>
      <c r="J42" s="1768"/>
      <c r="K42" s="1769"/>
      <c r="L42" s="1768"/>
      <c r="M42" s="1917"/>
      <c r="N42" s="1917">
        <v>-134</v>
      </c>
      <c r="O42" s="1917"/>
      <c r="P42" s="1917"/>
      <c r="Q42" s="1917"/>
      <c r="R42" s="1926"/>
      <c r="AU42" s="1727">
        <v>-134</v>
      </c>
    </row>
    <row r="43" spans="1:47">
      <c r="A43" s="1806" t="str">
        <f>BS!A25</f>
        <v xml:space="preserve">Payable to the Securities and Exchange Commission of Pakistan </v>
      </c>
      <c r="F43" s="2374">
        <v>-99</v>
      </c>
      <c r="G43" s="1926"/>
      <c r="H43" s="1754">
        <v>-115</v>
      </c>
      <c r="I43" s="1769"/>
      <c r="J43" s="1768"/>
      <c r="K43" s="1769" t="s">
        <v>809</v>
      </c>
      <c r="L43" s="1910">
        <f>BS!F17</f>
        <v>3224</v>
      </c>
      <c r="M43" s="1917"/>
      <c r="N43" s="1917">
        <v>-894</v>
      </c>
      <c r="AU43" s="1727">
        <v>-894</v>
      </c>
    </row>
    <row r="44" spans="1:47">
      <c r="A44" s="1806" t="s">
        <v>2266</v>
      </c>
      <c r="F44" s="2374">
        <v>0</v>
      </c>
      <c r="G44" s="1926"/>
      <c r="H44" s="1754">
        <v>16139</v>
      </c>
      <c r="I44" s="1769"/>
      <c r="J44" s="1768"/>
      <c r="K44" s="1769"/>
      <c r="L44" s="1910"/>
      <c r="M44" s="1917"/>
      <c r="N44" s="1917"/>
    </row>
    <row r="45" spans="1:47" s="1692" customFormat="1">
      <c r="A45" s="2457" t="s">
        <v>692</v>
      </c>
      <c r="E45" s="1758"/>
      <c r="F45" s="2375">
        <v>-8575.26</v>
      </c>
      <c r="G45" s="1759"/>
      <c r="H45" s="1788">
        <v>150.74</v>
      </c>
      <c r="I45" s="1911"/>
      <c r="J45" s="1912"/>
      <c r="K45" s="1911"/>
      <c r="L45" s="1912"/>
      <c r="M45" s="1733"/>
      <c r="N45" s="1733">
        <v>412</v>
      </c>
      <c r="AU45" s="1692">
        <v>412</v>
      </c>
    </row>
    <row r="46" spans="1:47" s="1704" customFormat="1">
      <c r="E46" s="1761"/>
      <c r="F46" s="1577">
        <v>-8584.26</v>
      </c>
      <c r="G46" s="1789"/>
      <c r="H46" s="1851">
        <v>17581.740000000002</v>
      </c>
      <c r="I46" s="1851" t="s">
        <v>820</v>
      </c>
      <c r="J46" s="1851">
        <f>+J38-L43</f>
        <v>192</v>
      </c>
      <c r="K46" s="1789"/>
      <c r="L46" s="1851"/>
      <c r="M46" s="1851"/>
      <c r="N46" s="1851">
        <f>SUM(N40:N45)</f>
        <v>-2607.1120000000001</v>
      </c>
      <c r="S46" s="1704">
        <v>9278</v>
      </c>
      <c r="AU46" s="1704">
        <v>-2607.1120000000001</v>
      </c>
    </row>
    <row r="47" spans="1:47" ht="12.75" customHeight="1">
      <c r="F47" s="1699"/>
      <c r="G47" s="1917"/>
      <c r="H47" s="1917"/>
      <c r="I47" s="1917"/>
      <c r="J47" s="1917"/>
      <c r="L47" s="1917"/>
      <c r="M47" s="1917"/>
      <c r="N47" s="1917"/>
    </row>
    <row r="48" spans="1:47" s="1704" customFormat="1">
      <c r="A48" s="1922" t="s">
        <v>1670</v>
      </c>
      <c r="E48" s="1762"/>
      <c r="F48" s="2376">
        <v>-66762.888999999937</v>
      </c>
      <c r="G48" s="1789"/>
      <c r="H48" s="2022">
        <v>250691.63312950003</v>
      </c>
      <c r="I48" s="1789"/>
      <c r="J48" s="1789"/>
      <c r="K48" s="1789"/>
      <c r="L48" s="1789"/>
      <c r="M48" s="1789"/>
      <c r="N48" s="2022">
        <f>+N46+N37+N26</f>
        <v>313969.88799999998</v>
      </c>
      <c r="R48" s="1704">
        <v>1089</v>
      </c>
      <c r="S48" s="1704">
        <v>344</v>
      </c>
      <c r="AU48" s="1704">
        <v>316786.88799999998</v>
      </c>
    </row>
    <row r="49" spans="1:47">
      <c r="F49" s="1699"/>
      <c r="G49" s="1926"/>
      <c r="H49" s="1917"/>
      <c r="I49" s="1917"/>
    </row>
    <row r="50" spans="1:47">
      <c r="A50" s="1746" t="s">
        <v>1478</v>
      </c>
      <c r="G50" s="1926"/>
      <c r="I50" s="2926" t="str">
        <f>+A45</f>
        <v>Accrued expenses and other liabilities</v>
      </c>
      <c r="J50" s="2927"/>
      <c r="K50" s="2927"/>
      <c r="L50" s="2928"/>
      <c r="R50" s="1727">
        <v>419</v>
      </c>
      <c r="S50" s="1727">
        <v>419</v>
      </c>
    </row>
    <row r="51" spans="1:47">
      <c r="A51" s="1746"/>
      <c r="G51" s="1926"/>
      <c r="I51" s="1763"/>
      <c r="J51" s="1764"/>
      <c r="K51" s="1764"/>
      <c r="L51" s="1765"/>
      <c r="R51" s="1727">
        <v>81</v>
      </c>
      <c r="S51" s="1727">
        <v>795</v>
      </c>
    </row>
    <row r="52" spans="1:47">
      <c r="F52" s="2442"/>
      <c r="G52" s="1917" t="s">
        <v>739</v>
      </c>
      <c r="H52" s="2494"/>
      <c r="I52" s="1996"/>
      <c r="J52" s="1766"/>
      <c r="K52" s="1767" t="s">
        <v>798</v>
      </c>
      <c r="L52" s="1909">
        <f>BS!H27</f>
        <v>32215</v>
      </c>
      <c r="M52" s="1730"/>
      <c r="N52" s="1730">
        <v>-66071</v>
      </c>
      <c r="O52" s="1727">
        <f>P52-F52</f>
        <v>-2541</v>
      </c>
      <c r="P52" s="1738">
        <v>-2541</v>
      </c>
      <c r="R52" s="1727">
        <v>61</v>
      </c>
      <c r="S52" s="1727">
        <v>402</v>
      </c>
      <c r="AU52" s="1727">
        <v>-51272</v>
      </c>
    </row>
    <row r="53" spans="1:47">
      <c r="A53" s="1727" t="s">
        <v>2135</v>
      </c>
      <c r="F53" s="2374">
        <v>399279.90784187918</v>
      </c>
      <c r="G53" s="1917"/>
      <c r="H53" s="1754">
        <v>281067</v>
      </c>
      <c r="I53" s="1917"/>
      <c r="J53" s="1768"/>
      <c r="K53" s="1769"/>
      <c r="L53" s="1768"/>
      <c r="M53" s="1730"/>
      <c r="N53" s="1730">
        <f>(1298796901+146891589)/1000</f>
        <v>1445688.49</v>
      </c>
      <c r="R53" s="1727">
        <f>SUM(R48:R52)</f>
        <v>1650</v>
      </c>
      <c r="S53" s="1727">
        <f>SUM(S46:S52)</f>
        <v>11238</v>
      </c>
      <c r="AU53" s="1727">
        <v>1139709</v>
      </c>
    </row>
    <row r="54" spans="1:47">
      <c r="A54" s="1727" t="s">
        <v>2134</v>
      </c>
      <c r="F54" s="2443">
        <v>-120678.09306</v>
      </c>
      <c r="G54" s="1917"/>
      <c r="H54" s="2495">
        <v>-216957</v>
      </c>
      <c r="I54" s="1917"/>
      <c r="J54" s="1768"/>
      <c r="K54" s="1769"/>
      <c r="L54" s="1768"/>
      <c r="M54" s="1730"/>
      <c r="N54" s="1730">
        <f>-(1530191265+425406108)/1000</f>
        <v>-1955597.3729999999</v>
      </c>
      <c r="AU54" s="1727">
        <v>-1599608</v>
      </c>
    </row>
    <row r="55" spans="1:47" s="1704" customFormat="1">
      <c r="A55" s="1922" t="s">
        <v>2455</v>
      </c>
      <c r="E55" s="1762"/>
      <c r="F55" s="1577">
        <v>278601.81478187919</v>
      </c>
      <c r="G55" s="1789"/>
      <c r="H55" s="1851">
        <v>64110</v>
      </c>
      <c r="I55" s="1770"/>
      <c r="J55" s="1771"/>
      <c r="K55" s="1770" t="s">
        <v>825</v>
      </c>
      <c r="L55" s="1772">
        <f>+L61-L56-L52</f>
        <v>-8575</v>
      </c>
      <c r="M55" s="1789"/>
      <c r="N55" s="1851">
        <f>SUM(N52:N54)</f>
        <v>-575979.88299999991</v>
      </c>
      <c r="S55" s="1704">
        <f>S53-R53</f>
        <v>9588</v>
      </c>
      <c r="AU55" s="1704">
        <v>-511171</v>
      </c>
    </row>
    <row r="56" spans="1:47" hidden="1">
      <c r="G56" s="1926"/>
      <c r="I56" s="1884"/>
      <c r="J56" s="1768"/>
      <c r="K56" s="1769" t="s">
        <v>826</v>
      </c>
      <c r="L56" s="1910">
        <v>0</v>
      </c>
    </row>
    <row r="57" spans="1:47">
      <c r="G57" s="1926"/>
      <c r="I57" s="1884"/>
      <c r="J57" s="1768"/>
      <c r="K57" s="1769"/>
      <c r="L57" s="1910"/>
    </row>
    <row r="58" spans="1:47">
      <c r="A58" s="1675" t="s">
        <v>2453</v>
      </c>
      <c r="E58" s="1773"/>
      <c r="F58" s="2372">
        <v>211838.92578187925</v>
      </c>
      <c r="G58" s="1926"/>
      <c r="H58" s="1875">
        <v>314801.63312950003</v>
      </c>
      <c r="I58" s="1884"/>
      <c r="J58" s="1768"/>
      <c r="K58" s="1884"/>
      <c r="L58" s="1910"/>
      <c r="N58" s="1875">
        <f>+N55+N48</f>
        <v>-262009.99499999994</v>
      </c>
      <c r="AU58" s="1727">
        <v>-194384.11200000002</v>
      </c>
    </row>
    <row r="59" spans="1:47">
      <c r="A59" s="1727" t="s">
        <v>1982</v>
      </c>
      <c r="F59" s="1747">
        <v>156989</v>
      </c>
      <c r="G59" s="1926"/>
      <c r="H59" s="1926">
        <v>78377</v>
      </c>
      <c r="I59" s="1884" t="s">
        <v>809</v>
      </c>
      <c r="J59" s="1910">
        <f>BS!F27</f>
        <v>23640</v>
      </c>
      <c r="K59" s="1884"/>
      <c r="L59" s="1910"/>
      <c r="N59" s="1926">
        <v>646442</v>
      </c>
      <c r="AU59" s="1727">
        <v>646442</v>
      </c>
    </row>
    <row r="60" spans="1:47">
      <c r="G60" s="1926"/>
      <c r="I60" s="1884"/>
      <c r="J60" s="1910"/>
      <c r="K60" s="1884"/>
      <c r="L60" s="1910"/>
    </row>
    <row r="61" spans="1:47" s="1704" customFormat="1" ht="12.75" thickBot="1">
      <c r="A61" s="1922" t="s">
        <v>1983</v>
      </c>
      <c r="E61" s="1774"/>
      <c r="F61" s="2377">
        <v>368828</v>
      </c>
      <c r="G61" s="1789"/>
      <c r="H61" s="1790">
        <v>393179</v>
      </c>
      <c r="I61" s="1775"/>
      <c r="J61" s="1777">
        <f>+J59</f>
        <v>23640</v>
      </c>
      <c r="K61" s="1776"/>
      <c r="L61" s="1777">
        <f>+J61</f>
        <v>23640</v>
      </c>
      <c r="M61" s="1851"/>
      <c r="N61" s="1790">
        <f>+ROUND((N59+N58),0)</f>
        <v>384432</v>
      </c>
      <c r="AU61" s="1704">
        <v>452058</v>
      </c>
    </row>
    <row r="62" spans="1:47" ht="12.75" thickTop="1">
      <c r="H62" s="1917"/>
      <c r="I62" s="1917" t="str">
        <f>+I46</f>
        <v>Net impact</v>
      </c>
      <c r="J62" s="1917">
        <f>+J59-L52</f>
        <v>-8575</v>
      </c>
      <c r="K62" s="1913"/>
      <c r="L62" s="1917"/>
      <c r="M62" s="1917"/>
      <c r="N62" s="1917"/>
    </row>
    <row r="63" spans="1:47">
      <c r="H63" s="1917"/>
      <c r="I63" s="1917"/>
      <c r="J63" s="1917"/>
      <c r="K63" s="1913"/>
      <c r="L63" s="1917"/>
      <c r="M63" s="1917"/>
      <c r="N63" s="1917">
        <f>+BS!F11</f>
        <v>368828</v>
      </c>
    </row>
    <row r="64" spans="1:47" s="1918" customFormat="1">
      <c r="A64" s="1918" t="str">
        <f>BS!$A$46</f>
        <v>The annexed notes from 1 to 19 form an integral part of these condensed interim financial statements.</v>
      </c>
      <c r="E64" s="1715"/>
      <c r="F64" s="2366"/>
      <c r="G64" s="1715"/>
      <c r="H64" s="1715"/>
      <c r="I64" s="1715"/>
      <c r="J64" s="2269">
        <f>+F61-BS!F11</f>
        <v>0</v>
      </c>
      <c r="K64" s="2458"/>
      <c r="W64" s="1711"/>
      <c r="X64" s="1711"/>
      <c r="Y64" s="1711"/>
      <c r="Z64" s="1711"/>
      <c r="AA64" s="1711"/>
      <c r="AB64" s="1711"/>
      <c r="AC64" s="1711"/>
      <c r="AD64" s="1711"/>
      <c r="AE64" s="1711"/>
    </row>
    <row r="65" spans="1:31" s="1918" customFormat="1">
      <c r="E65" s="1715"/>
      <c r="F65" s="2366"/>
      <c r="G65" s="1715"/>
      <c r="H65" s="1715"/>
      <c r="I65" s="1715"/>
      <c r="J65" s="1715"/>
      <c r="K65" s="2458"/>
      <c r="N65" s="1711">
        <f>+N61-N63</f>
        <v>15604</v>
      </c>
      <c r="W65" s="1711"/>
      <c r="X65" s="1711"/>
      <c r="Y65" s="1711"/>
      <c r="Z65" s="1711"/>
      <c r="AA65" s="1711"/>
      <c r="AB65" s="1711"/>
      <c r="AC65" s="1711"/>
      <c r="AD65" s="1711"/>
      <c r="AE65" s="1711"/>
    </row>
    <row r="66" spans="1:31" s="1918" customFormat="1">
      <c r="E66" s="1715"/>
      <c r="F66" s="2366"/>
      <c r="G66" s="1715"/>
      <c r="H66" s="1715"/>
      <c r="I66" s="1715"/>
      <c r="J66" s="1715"/>
      <c r="K66" s="2458"/>
      <c r="L66" s="1918">
        <f>BS!F11</f>
        <v>368828</v>
      </c>
      <c r="W66" s="1711"/>
      <c r="X66" s="1711"/>
      <c r="Y66" s="1711"/>
      <c r="Z66" s="1711"/>
      <c r="AA66" s="1711"/>
      <c r="AB66" s="1711"/>
      <c r="AC66" s="1711"/>
      <c r="AD66" s="1711"/>
      <c r="AE66" s="1711"/>
    </row>
    <row r="67" spans="1:31" s="1692" customFormat="1">
      <c r="A67" s="1922" t="str">
        <f>BS!$A$49</f>
        <v xml:space="preserve">                                                       For MCB-Arif Habib Savings and Investments Limited</v>
      </c>
      <c r="B67" s="1929"/>
      <c r="C67" s="1929"/>
      <c r="D67" s="1929"/>
      <c r="E67" s="1929"/>
      <c r="F67" s="1929"/>
      <c r="G67" s="1929"/>
      <c r="H67" s="1929"/>
      <c r="I67" s="1929"/>
      <c r="L67" s="1759">
        <f>F61-L66</f>
        <v>0</v>
      </c>
    </row>
    <row r="68" spans="1:31" s="1692" customFormat="1">
      <c r="A68" s="1675" t="str">
        <f>BS!$A$50</f>
        <v xml:space="preserve">                                                                               (Management Company)</v>
      </c>
      <c r="B68" s="1929"/>
      <c r="C68" s="1929"/>
      <c r="D68" s="1929"/>
      <c r="E68" s="1929"/>
      <c r="F68" s="1929"/>
      <c r="G68" s="1929"/>
      <c r="H68" s="1929"/>
      <c r="I68" s="1930"/>
    </row>
    <row r="69" spans="1:31" s="1692" customFormat="1">
      <c r="A69" s="1931"/>
      <c r="B69" s="1931"/>
      <c r="C69" s="1932"/>
      <c r="D69" s="1933"/>
      <c r="E69" s="1932"/>
      <c r="F69" s="1932"/>
      <c r="G69" s="1934"/>
      <c r="H69" s="1934"/>
      <c r="I69" s="1935"/>
    </row>
    <row r="70" spans="1:31" s="1692" customFormat="1">
      <c r="A70" s="1931"/>
      <c r="B70" s="1931"/>
      <c r="C70" s="1932"/>
      <c r="D70" s="1933"/>
      <c r="E70" s="1932"/>
      <c r="F70" s="1932"/>
      <c r="G70" s="1934"/>
      <c r="H70" s="1934"/>
      <c r="I70" s="1935"/>
    </row>
    <row r="71" spans="1:31" s="1692" customFormat="1">
      <c r="A71" s="1931"/>
      <c r="B71" s="1931"/>
      <c r="C71" s="1932"/>
      <c r="D71" s="1933"/>
      <c r="E71" s="1932"/>
      <c r="F71" s="1932"/>
      <c r="G71" s="1934"/>
      <c r="H71" s="1934"/>
      <c r="I71" s="1935"/>
    </row>
    <row r="72" spans="1:31" s="1692" customFormat="1">
      <c r="A72" s="1931"/>
      <c r="B72" s="1931"/>
      <c r="C72" s="1932"/>
      <c r="D72" s="1933"/>
      <c r="E72" s="1932"/>
      <c r="F72" s="1932"/>
      <c r="G72" s="1934"/>
      <c r="H72" s="1934"/>
      <c r="I72" s="1935"/>
    </row>
    <row r="73" spans="1:31" s="1692" customFormat="1">
      <c r="A73" s="1922" t="str">
        <f>BS!$A$55</f>
        <v xml:space="preserve">           _____________________                          _____________________                          _____________________</v>
      </c>
      <c r="E73" s="1932"/>
      <c r="F73" s="1932"/>
      <c r="G73" s="1936"/>
      <c r="I73" s="1935"/>
    </row>
    <row r="74" spans="1:31" s="1692" customFormat="1">
      <c r="A74" s="1675" t="str">
        <f>BS!$A$56</f>
        <v xml:space="preserve">            Chief Executive Officer                              Chief Financial Officer                                          Director</v>
      </c>
      <c r="E74" s="1932"/>
      <c r="F74" s="1932"/>
      <c r="G74" s="1937"/>
      <c r="I74" s="1935"/>
    </row>
    <row r="75" spans="1:31">
      <c r="F75" s="1779"/>
      <c r="G75" s="1863"/>
      <c r="H75" s="1780"/>
    </row>
    <row r="76" spans="1:31">
      <c r="C76" s="1727" t="s">
        <v>2098</v>
      </c>
      <c r="F76" s="1747">
        <f>BS!F11</f>
        <v>368828</v>
      </c>
      <c r="H76" s="1747">
        <v>479344</v>
      </c>
    </row>
    <row r="77" spans="1:31">
      <c r="C77" s="1727" t="s">
        <v>2099</v>
      </c>
      <c r="F77" s="1747">
        <f>F61-F76</f>
        <v>0</v>
      </c>
      <c r="H77" s="1926">
        <f>H61-H76</f>
        <v>-86165</v>
      </c>
    </row>
    <row r="78" spans="1:31">
      <c r="F78" s="1863"/>
      <c r="G78" s="1781"/>
      <c r="H78" s="1863"/>
    </row>
    <row r="79" spans="1:31">
      <c r="E79" s="1741" t="s">
        <v>1455</v>
      </c>
    </row>
    <row r="83" spans="6:18">
      <c r="F83" s="2378"/>
    </row>
    <row r="84" spans="6:18">
      <c r="F84" s="2378"/>
    </row>
    <row r="85" spans="6:18">
      <c r="F85" s="2378"/>
    </row>
    <row r="86" spans="6:18">
      <c r="F86" s="2378"/>
    </row>
    <row r="87" spans="6:18">
      <c r="F87" s="2378"/>
    </row>
    <row r="88" spans="6:18">
      <c r="F88" s="2378"/>
    </row>
    <row r="89" spans="6:18">
      <c r="F89" s="2378"/>
    </row>
    <row r="90" spans="6:18">
      <c r="F90" s="2378"/>
    </row>
    <row r="91" spans="6:18">
      <c r="F91" s="2378"/>
    </row>
    <row r="93" spans="6:18">
      <c r="O93" s="1926"/>
    </row>
    <row r="94" spans="6:18">
      <c r="K94" s="1845"/>
      <c r="L94" s="1845"/>
      <c r="M94" s="1845"/>
      <c r="N94" s="1845"/>
    </row>
    <row r="96" spans="6:18">
      <c r="O96" s="1845"/>
      <c r="P96" s="1845"/>
      <c r="Q96" s="1845"/>
      <c r="R96" s="1845"/>
    </row>
    <row r="98" spans="11:15">
      <c r="K98" s="2925"/>
      <c r="L98" s="2925"/>
      <c r="M98" s="1845"/>
      <c r="N98" s="1845"/>
    </row>
    <row r="99" spans="11:15">
      <c r="K99" s="2925"/>
      <c r="L99" s="2925"/>
      <c r="M99" s="1845"/>
      <c r="N99" s="1845"/>
    </row>
    <row r="100" spans="11:15">
      <c r="K100" s="1782"/>
      <c r="L100" s="1782"/>
      <c r="M100" s="1782"/>
      <c r="N100" s="1782"/>
      <c r="O100" s="1845"/>
    </row>
    <row r="101" spans="11:15">
      <c r="O101" s="1845"/>
    </row>
    <row r="102" spans="11:15">
      <c r="O102" s="1782"/>
    </row>
  </sheetData>
  <mergeCells count="15">
    <mergeCell ref="K98:L99"/>
    <mergeCell ref="I50:L50"/>
    <mergeCell ref="AP2:AS2"/>
    <mergeCell ref="F8:H8"/>
    <mergeCell ref="V17:Y17"/>
    <mergeCell ref="I22:L22"/>
    <mergeCell ref="I37:L37"/>
    <mergeCell ref="I2:L2"/>
    <mergeCell ref="O2:R2"/>
    <mergeCell ref="V2:Y2"/>
    <mergeCell ref="AA2:AD2"/>
    <mergeCell ref="AF2:AI2"/>
    <mergeCell ref="AK2:AN2"/>
    <mergeCell ref="F5:H5"/>
    <mergeCell ref="I25:L25"/>
  </mergeCells>
  <printOptions horizontalCentered="1"/>
  <pageMargins left="0.75" right="0.5" top="0.5" bottom="0.4" header="0.54" footer="0.23"/>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S100"/>
  <sheetViews>
    <sheetView showGridLines="0" view="pageBreakPreview" topLeftCell="A54" zoomScaleNormal="100" zoomScaleSheetLayoutView="100" workbookViewId="0">
      <selection activeCell="AS100" sqref="AS100"/>
    </sheetView>
  </sheetViews>
  <sheetFormatPr defaultColWidth="9" defaultRowHeight="12.75"/>
  <cols>
    <col min="1" max="1" width="3.75" style="861" customWidth="1"/>
    <col min="2" max="2" width="5.75" style="861" customWidth="1"/>
    <col min="3" max="3" width="4" style="861" customWidth="1"/>
    <col min="4" max="4" width="53" style="861" customWidth="1"/>
    <col min="5" max="5" width="1.875" style="861" customWidth="1"/>
    <col min="6" max="6" width="6.375" style="872" customWidth="1"/>
    <col min="7" max="7" width="13" style="1122" customWidth="1"/>
    <col min="8" max="8" width="1" style="861" customWidth="1"/>
    <col min="9" max="9" width="13" style="1123" customWidth="1"/>
    <col min="10" max="10" width="18" style="1123" customWidth="1"/>
    <col min="11" max="11" width="15" style="862" customWidth="1"/>
    <col min="12" max="12" width="18" style="1123" customWidth="1"/>
    <col min="13" max="13" width="13.375" style="1123" customWidth="1"/>
    <col min="14" max="14" width="20.5" style="1123" customWidth="1"/>
    <col min="15" max="15" width="12.375" style="861" customWidth="1"/>
    <col min="16" max="16" width="13.5" style="861" customWidth="1"/>
    <col min="17" max="17" width="13.625" style="861" customWidth="1"/>
    <col min="18" max="18" width="13.5" style="861" customWidth="1"/>
    <col min="19" max="19" width="16.5" style="861" customWidth="1"/>
    <col min="20" max="21" width="9" style="861"/>
    <col min="22" max="22" width="11.875" style="861" customWidth="1"/>
    <col min="23" max="23" width="12.25" style="861" customWidth="1"/>
    <col min="24" max="24" width="9" style="861"/>
    <col min="25" max="25" width="11.25" style="861" customWidth="1"/>
    <col min="26" max="27" width="9" style="861"/>
    <col min="28" max="28" width="9.25" style="861" customWidth="1"/>
    <col min="29" max="29" width="9" style="861"/>
    <col min="30" max="30" width="9.25" style="861" customWidth="1"/>
    <col min="31" max="32" width="9" style="861"/>
    <col min="33" max="33" width="9.625" style="861" customWidth="1"/>
    <col min="34" max="34" width="9" style="861"/>
    <col min="35" max="35" width="9.625" style="861" customWidth="1"/>
    <col min="36" max="37" width="9" style="861"/>
    <col min="38" max="38" width="9.5" style="861" customWidth="1"/>
    <col min="39" max="39" width="9" style="861"/>
    <col min="40" max="40" width="9.5" style="861" customWidth="1"/>
    <col min="41" max="42" width="9" style="861"/>
    <col min="43" max="43" width="9.5" style="861" customWidth="1"/>
    <col min="44" max="44" width="9" style="861"/>
    <col min="45" max="45" width="9.5" style="861" customWidth="1"/>
    <col min="46" max="16384" width="9" style="861"/>
  </cols>
  <sheetData>
    <row r="1" spans="1:45" s="857" customFormat="1" ht="13.5" thickTop="1">
      <c r="A1" s="1102" t="s">
        <v>671</v>
      </c>
      <c r="C1" s="1102"/>
      <c r="D1" s="1102"/>
      <c r="E1" s="1102"/>
      <c r="F1" s="1070"/>
      <c r="G1" s="1192"/>
      <c r="H1" s="1102"/>
      <c r="I1" s="1008"/>
      <c r="J1" s="854"/>
      <c r="N1" s="854"/>
      <c r="V1" s="1193"/>
      <c r="W1" s="1194"/>
      <c r="X1" s="1194"/>
      <c r="Y1" s="1194"/>
      <c r="Z1" s="1194"/>
      <c r="AA1" s="1194"/>
      <c r="AB1" s="1194"/>
      <c r="AC1" s="1194"/>
      <c r="AD1" s="1194"/>
      <c r="AE1" s="1194"/>
      <c r="AF1" s="1194"/>
      <c r="AG1" s="1194"/>
      <c r="AH1" s="1194"/>
      <c r="AI1" s="1194"/>
      <c r="AJ1" s="1194"/>
      <c r="AK1" s="1194"/>
      <c r="AL1" s="1194"/>
      <c r="AM1" s="1194"/>
      <c r="AN1" s="1194"/>
      <c r="AO1" s="1194"/>
      <c r="AP1" s="1194"/>
      <c r="AQ1" s="1194"/>
      <c r="AR1" s="1194"/>
      <c r="AS1" s="1195"/>
    </row>
    <row r="2" spans="1:45" s="857" customFormat="1" ht="12.75" customHeight="1" thickBot="1">
      <c r="A2" s="1102" t="s">
        <v>796</v>
      </c>
      <c r="C2" s="1102"/>
      <c r="D2" s="1102"/>
      <c r="E2" s="1102"/>
      <c r="F2" s="1070"/>
      <c r="G2" s="1192"/>
      <c r="H2" s="1102"/>
      <c r="I2" s="1008"/>
      <c r="J2" s="2952" t="s">
        <v>686</v>
      </c>
      <c r="K2" s="2953"/>
      <c r="L2" s="2953"/>
      <c r="M2" s="2954"/>
      <c r="N2" s="854"/>
      <c r="O2" s="2961" t="s">
        <v>797</v>
      </c>
      <c r="P2" s="2962"/>
      <c r="Q2" s="2962"/>
      <c r="R2" s="2963"/>
      <c r="V2" s="2964" t="s">
        <v>1620</v>
      </c>
      <c r="W2" s="2965"/>
      <c r="X2" s="2965"/>
      <c r="Y2" s="2965"/>
      <c r="Z2" s="1196"/>
      <c r="AA2" s="2965" t="s">
        <v>1623</v>
      </c>
      <c r="AB2" s="2965"/>
      <c r="AC2" s="2965"/>
      <c r="AD2" s="2965"/>
      <c r="AE2" s="1196"/>
      <c r="AF2" s="2948" t="s">
        <v>1398</v>
      </c>
      <c r="AG2" s="2948"/>
      <c r="AH2" s="2948"/>
      <c r="AI2" s="2948"/>
      <c r="AJ2" s="1196"/>
      <c r="AK2" s="2948" t="s">
        <v>1624</v>
      </c>
      <c r="AL2" s="2948"/>
      <c r="AM2" s="2948"/>
      <c r="AN2" s="2948"/>
      <c r="AO2" s="1196"/>
      <c r="AP2" s="2948" t="s">
        <v>1625</v>
      </c>
      <c r="AQ2" s="2948"/>
      <c r="AR2" s="2948"/>
      <c r="AS2" s="2949"/>
    </row>
    <row r="3" spans="1:45" s="857" customFormat="1">
      <c r="A3" s="1102" t="str">
        <f>+OCI!A3</f>
        <v>FOR THE QUARTER ENDED SEPTEMBER 30, 2021</v>
      </c>
      <c r="C3" s="1102"/>
      <c r="D3" s="1102"/>
      <c r="E3" s="1102"/>
      <c r="F3" s="1070"/>
      <c r="G3" s="1192"/>
      <c r="H3" s="1102"/>
      <c r="I3" s="1008"/>
      <c r="J3" s="1197" t="s">
        <v>798</v>
      </c>
      <c r="K3" s="1198">
        <f>BS!H12</f>
        <v>475217</v>
      </c>
      <c r="L3" s="1199"/>
      <c r="M3" s="1200"/>
      <c r="N3" s="854"/>
      <c r="O3" s="1199"/>
      <c r="P3" s="1201"/>
      <c r="Q3" s="1202" t="s">
        <v>798</v>
      </c>
      <c r="R3" s="1203">
        <f>UHF!F8</f>
        <v>2462552</v>
      </c>
      <c r="S3" s="1204"/>
      <c r="V3" s="1205" t="s">
        <v>798</v>
      </c>
      <c r="W3" s="1206">
        <f>'5.3.1'!I55</f>
        <v>811</v>
      </c>
      <c r="X3" s="1207"/>
      <c r="Y3" s="1207"/>
      <c r="Z3" s="1207"/>
      <c r="AA3" s="1207" t="s">
        <v>798</v>
      </c>
      <c r="AB3" s="1206">
        <f>'5.1'!K34</f>
        <v>74795</v>
      </c>
      <c r="AC3" s="1207"/>
      <c r="AD3" s="1207"/>
      <c r="AE3" s="1196"/>
      <c r="AF3" s="1207" t="s">
        <v>798</v>
      </c>
      <c r="AG3" s="1206">
        <f>'5.2.1'!$I$22+'5.3.1'!$I$34</f>
        <v>156233</v>
      </c>
      <c r="AH3" s="1207"/>
      <c r="AI3" s="1207"/>
      <c r="AJ3" s="1196"/>
      <c r="AK3" s="1207" t="s">
        <v>798</v>
      </c>
      <c r="AL3" s="1206">
        <f>'1-4.1'!I978</f>
        <v>0</v>
      </c>
      <c r="AM3" s="1207"/>
      <c r="AN3" s="1207"/>
      <c r="AO3" s="1196"/>
      <c r="AP3" s="1207" t="s">
        <v>798</v>
      </c>
      <c r="AQ3" s="1206">
        <f>'1-4.1'!I979</f>
        <v>0</v>
      </c>
      <c r="AR3" s="1207"/>
      <c r="AS3" s="1208"/>
    </row>
    <row r="4" spans="1:45" s="857" customFormat="1">
      <c r="A4" s="1102"/>
      <c r="C4" s="1102"/>
      <c r="D4" s="1102"/>
      <c r="E4" s="1102"/>
      <c r="F4" s="1070"/>
      <c r="G4" s="1192"/>
      <c r="H4" s="1102"/>
      <c r="I4" s="1008"/>
      <c r="J4" s="1209"/>
      <c r="K4" s="1210"/>
      <c r="L4" s="1211"/>
      <c r="M4" s="1212"/>
      <c r="N4" s="854"/>
      <c r="O4" s="1211"/>
      <c r="P4" s="1213"/>
      <c r="Q4" s="1214"/>
      <c r="R4" s="1215"/>
      <c r="S4" s="1204"/>
      <c r="V4" s="1205"/>
      <c r="W4" s="1216"/>
      <c r="X4" s="1207"/>
      <c r="Y4" s="1207"/>
      <c r="Z4" s="1207"/>
      <c r="AA4" s="1207"/>
      <c r="AB4" s="1216"/>
      <c r="AC4" s="1207"/>
      <c r="AD4" s="1207"/>
      <c r="AE4" s="1196"/>
      <c r="AF4" s="1207"/>
      <c r="AG4" s="1216"/>
      <c r="AH4" s="1207"/>
      <c r="AI4" s="1207"/>
      <c r="AJ4" s="1196"/>
      <c r="AK4" s="1207"/>
      <c r="AL4" s="1216"/>
      <c r="AM4" s="1207"/>
      <c r="AN4" s="1207"/>
      <c r="AO4" s="1196"/>
      <c r="AP4" s="1207"/>
      <c r="AQ4" s="1216"/>
      <c r="AR4" s="1207"/>
      <c r="AS4" s="1208"/>
    </row>
    <row r="5" spans="1:45" s="857" customFormat="1">
      <c r="A5" s="1102"/>
      <c r="C5" s="1102"/>
      <c r="D5" s="1102"/>
      <c r="E5" s="1102"/>
      <c r="F5" s="1070"/>
      <c r="G5" s="1187" t="s">
        <v>1919</v>
      </c>
      <c r="H5" s="1102"/>
      <c r="I5" s="1217" t="s">
        <v>1916</v>
      </c>
      <c r="J5" s="1209"/>
      <c r="K5" s="1210"/>
      <c r="L5" s="1211"/>
      <c r="M5" s="1212"/>
      <c r="N5" s="854"/>
      <c r="O5" s="1211"/>
      <c r="P5" s="1213"/>
      <c r="Q5" s="1214"/>
      <c r="R5" s="1215"/>
      <c r="S5" s="1204"/>
      <c r="V5" s="1205"/>
      <c r="W5" s="1216"/>
      <c r="X5" s="1207"/>
      <c r="Y5" s="1207"/>
      <c r="Z5" s="1207"/>
      <c r="AA5" s="1207"/>
      <c r="AB5" s="1216"/>
      <c r="AC5" s="1207"/>
      <c r="AD5" s="1207"/>
      <c r="AE5" s="1196"/>
      <c r="AF5" s="1207"/>
      <c r="AG5" s="1216"/>
      <c r="AH5" s="1207"/>
      <c r="AI5" s="1207"/>
      <c r="AJ5" s="1196"/>
      <c r="AK5" s="1207"/>
      <c r="AL5" s="1216"/>
      <c r="AM5" s="1207"/>
      <c r="AN5" s="1207"/>
      <c r="AO5" s="1196"/>
      <c r="AP5" s="1207"/>
      <c r="AQ5" s="1216"/>
      <c r="AR5" s="1207"/>
      <c r="AS5" s="1208"/>
    </row>
    <row r="6" spans="1:45" s="857" customFormat="1">
      <c r="B6" s="861"/>
      <c r="C6" s="861"/>
      <c r="D6" s="861"/>
      <c r="E6" s="1502"/>
      <c r="F6" s="861"/>
      <c r="G6" s="1187" t="s">
        <v>1918</v>
      </c>
      <c r="H6" s="1218"/>
      <c r="I6" s="1217" t="s">
        <v>1917</v>
      </c>
      <c r="J6" s="1219"/>
      <c r="K6" s="1220"/>
      <c r="L6" s="1211"/>
      <c r="M6" s="1221"/>
      <c r="O6" s="1211"/>
      <c r="P6" s="1213"/>
      <c r="Q6" s="1214" t="s">
        <v>799</v>
      </c>
      <c r="R6" s="1215">
        <f>BS!H26</f>
        <v>2079</v>
      </c>
      <c r="S6" s="1204"/>
      <c r="V6" s="1205"/>
      <c r="W6" s="1216"/>
      <c r="X6" s="1207" t="s">
        <v>1619</v>
      </c>
      <c r="Y6" s="1207">
        <f>-Lead!O202</f>
        <v>3027</v>
      </c>
      <c r="Z6" s="1207"/>
      <c r="AA6" s="1207"/>
      <c r="AB6" s="1216"/>
      <c r="AC6" s="1207" t="s">
        <v>1619</v>
      </c>
      <c r="AD6" s="1207">
        <f>Lead!K288+Lead!K289</f>
        <v>0</v>
      </c>
      <c r="AE6" s="1196"/>
      <c r="AF6" s="1207"/>
      <c r="AG6" s="1216"/>
      <c r="AH6" s="1207" t="s">
        <v>1619</v>
      </c>
      <c r="AI6" s="1207">
        <f>Lead!K287</f>
        <v>0</v>
      </c>
      <c r="AJ6" s="1196"/>
      <c r="AK6" s="1207"/>
      <c r="AL6" s="1216"/>
      <c r="AM6" s="1207" t="s">
        <v>1619</v>
      </c>
      <c r="AN6" s="1207">
        <f>Lead!P287</f>
        <v>0</v>
      </c>
      <c r="AO6" s="1196"/>
      <c r="AP6" s="1207"/>
      <c r="AQ6" s="1216"/>
      <c r="AR6" s="1207" t="s">
        <v>1626</v>
      </c>
      <c r="AS6" s="1208">
        <f>Lead!U287</f>
        <v>0</v>
      </c>
    </row>
    <row r="7" spans="1:45" s="857" customFormat="1">
      <c r="B7" s="861"/>
      <c r="C7" s="861"/>
      <c r="D7" s="861"/>
      <c r="E7" s="1502"/>
      <c r="F7" s="872"/>
      <c r="G7" s="1222">
        <v>2018</v>
      </c>
      <c r="H7" s="1223"/>
      <c r="I7" s="1224">
        <v>2018</v>
      </c>
      <c r="J7" s="1225" t="s">
        <v>800</v>
      </c>
      <c r="K7" s="1213" t="e">
        <f>+K19-K3-K11-K12-K10</f>
        <v>#REF!</v>
      </c>
      <c r="L7" s="1211"/>
      <c r="M7" s="1221"/>
      <c r="O7" s="1211" t="s">
        <v>753</v>
      </c>
      <c r="P7" s="1213">
        <f>-DS!F28</f>
        <v>63768</v>
      </c>
      <c r="Q7" s="1214"/>
      <c r="R7" s="1215"/>
      <c r="S7" s="1204"/>
      <c r="V7" s="1205" t="s">
        <v>1621</v>
      </c>
      <c r="W7" s="1216">
        <f>W9-Y9</f>
        <v>-2216</v>
      </c>
      <c r="X7" s="1207"/>
      <c r="Y7" s="1207"/>
      <c r="Z7" s="1207"/>
      <c r="AA7" s="1207" t="s">
        <v>1621</v>
      </c>
      <c r="AB7" s="1216">
        <f>AB9-AD9</f>
        <v>39936.504999999997</v>
      </c>
      <c r="AC7" s="1207"/>
      <c r="AD7" s="1207"/>
      <c r="AE7" s="1196"/>
      <c r="AF7" s="1207" t="s">
        <v>1621</v>
      </c>
      <c r="AG7" s="1216">
        <f>AG9-AI9</f>
        <v>733.49300000001676</v>
      </c>
      <c r="AH7" s="1207"/>
      <c r="AI7" s="1207"/>
      <c r="AJ7" s="1196"/>
      <c r="AK7" s="1207" t="s">
        <v>1621</v>
      </c>
      <c r="AL7" s="1216">
        <f>AL9-AN9</f>
        <v>0</v>
      </c>
      <c r="AM7" s="1207"/>
      <c r="AN7" s="1207"/>
      <c r="AO7" s="1196"/>
      <c r="AP7" s="1207" t="s">
        <v>1621</v>
      </c>
      <c r="AQ7" s="1216">
        <f>AQ9-AS9</f>
        <v>0</v>
      </c>
      <c r="AR7" s="1207"/>
      <c r="AS7" s="1208"/>
    </row>
    <row r="8" spans="1:45" s="857" customFormat="1">
      <c r="B8" s="861"/>
      <c r="C8" s="861"/>
      <c r="D8" s="861"/>
      <c r="E8" s="861"/>
      <c r="F8" s="1226" t="s">
        <v>678</v>
      </c>
      <c r="G8" s="2950" t="s">
        <v>707</v>
      </c>
      <c r="H8" s="2950"/>
      <c r="I8" s="2950"/>
      <c r="J8" s="1225"/>
      <c r="K8" s="1227"/>
      <c r="L8" s="1211"/>
      <c r="M8" s="1228"/>
      <c r="N8" s="1229"/>
      <c r="O8" s="1211" t="s">
        <v>780</v>
      </c>
      <c r="P8" s="1213">
        <f>-UHF!F15</f>
        <v>0</v>
      </c>
      <c r="Q8" s="1211"/>
      <c r="R8" s="1221"/>
      <c r="S8" s="1204"/>
      <c r="V8" s="1205"/>
      <c r="W8" s="1216"/>
      <c r="X8" s="1207" t="s">
        <v>809</v>
      </c>
      <c r="Y8" s="1207">
        <f>'5.3.1'!I53</f>
        <v>0</v>
      </c>
      <c r="Z8" s="1207"/>
      <c r="AA8" s="1207"/>
      <c r="AB8" s="1216"/>
      <c r="AC8" s="1207" t="s">
        <v>809</v>
      </c>
      <c r="AD8" s="1207">
        <f>'5.1'!K32</f>
        <v>34858.495000000003</v>
      </c>
      <c r="AE8" s="1196"/>
      <c r="AF8" s="1207"/>
      <c r="AG8" s="1216"/>
      <c r="AH8" s="1207" t="s">
        <v>809</v>
      </c>
      <c r="AI8" s="1207">
        <f>'5.2.1'!$I$20+'5.3.1'!$I$32</f>
        <v>155499.50699999998</v>
      </c>
      <c r="AJ8" s="1196"/>
      <c r="AK8" s="1207"/>
      <c r="AL8" s="1216"/>
      <c r="AM8" s="1207" t="s">
        <v>809</v>
      </c>
      <c r="AN8" s="1207">
        <f>'1-4.1'!D978</f>
        <v>0</v>
      </c>
      <c r="AO8" s="1196"/>
      <c r="AP8" s="1207"/>
      <c r="AQ8" s="1216"/>
      <c r="AR8" s="1207" t="s">
        <v>809</v>
      </c>
      <c r="AS8" s="1208">
        <f>'5.4'!I8</f>
        <v>0</v>
      </c>
    </row>
    <row r="9" spans="1:45" s="857" customFormat="1" ht="13.5" thickBot="1">
      <c r="B9" s="861"/>
      <c r="C9" s="861"/>
      <c r="D9" s="861"/>
      <c r="E9" s="861"/>
      <c r="F9" s="1226"/>
      <c r="G9" s="1503"/>
      <c r="H9" s="1503"/>
      <c r="I9" s="1503"/>
      <c r="J9" s="1225"/>
      <c r="K9" s="1227"/>
      <c r="L9" s="1211"/>
      <c r="M9" s="1228"/>
      <c r="N9" s="1229"/>
      <c r="O9" s="1211"/>
      <c r="P9" s="1213"/>
      <c r="Q9" s="1211"/>
      <c r="R9" s="1221"/>
      <c r="S9" s="1204"/>
      <c r="V9" s="1205"/>
      <c r="W9" s="1230">
        <f>W3</f>
        <v>811</v>
      </c>
      <c r="X9" s="1207"/>
      <c r="Y9" s="1230">
        <f>SUM(Y3:Y8)</f>
        <v>3027</v>
      </c>
      <c r="Z9" s="1207"/>
      <c r="AA9" s="1207"/>
      <c r="AB9" s="1230">
        <f>AB3</f>
        <v>74795</v>
      </c>
      <c r="AC9" s="1207"/>
      <c r="AD9" s="1230">
        <f>SUM(AD3:AD8)</f>
        <v>34858.495000000003</v>
      </c>
      <c r="AE9" s="1196"/>
      <c r="AF9" s="1207"/>
      <c r="AG9" s="1230">
        <f>AG3</f>
        <v>156233</v>
      </c>
      <c r="AH9" s="1207"/>
      <c r="AI9" s="1230">
        <f>SUM(AI3:AI8)</f>
        <v>155499.50699999998</v>
      </c>
      <c r="AJ9" s="1196"/>
      <c r="AK9" s="1207"/>
      <c r="AL9" s="1230">
        <f>AL3</f>
        <v>0</v>
      </c>
      <c r="AM9" s="1207"/>
      <c r="AN9" s="1230">
        <f>SUM(AN3:AN8)</f>
        <v>0</v>
      </c>
      <c r="AO9" s="1196"/>
      <c r="AP9" s="1207"/>
      <c r="AQ9" s="1230">
        <f>AQ3</f>
        <v>0</v>
      </c>
      <c r="AR9" s="1207"/>
      <c r="AS9" s="1231">
        <f>SUM(AS3:AS8)</f>
        <v>0</v>
      </c>
    </row>
    <row r="10" spans="1:45" s="857" customFormat="1">
      <c r="A10" s="1232" t="s">
        <v>1475</v>
      </c>
      <c r="B10" s="1233" t="s">
        <v>1476</v>
      </c>
      <c r="C10" s="861"/>
      <c r="D10" s="861"/>
      <c r="E10" s="861"/>
      <c r="F10" s="872"/>
      <c r="G10" s="1122"/>
      <c r="H10" s="1497"/>
      <c r="I10" s="1168"/>
      <c r="J10" s="1211" t="s">
        <v>801</v>
      </c>
      <c r="K10" s="1215" t="e">
        <f>OCI!#REF!</f>
        <v>#REF!</v>
      </c>
      <c r="L10" s="1211"/>
      <c r="M10" s="1234"/>
      <c r="N10" s="1235"/>
      <c r="O10" s="1211" t="s">
        <v>802</v>
      </c>
      <c r="P10" s="1236">
        <f>+R6-P12</f>
        <v>0</v>
      </c>
      <c r="Q10" s="1214" t="s">
        <v>803</v>
      </c>
      <c r="R10" s="1215">
        <f>UHF!F10</f>
        <v>0</v>
      </c>
      <c r="S10" s="1204"/>
      <c r="V10" s="1205"/>
      <c r="W10" s="1207"/>
      <c r="X10" s="1207"/>
      <c r="Y10" s="1207"/>
      <c r="Z10" s="1207"/>
      <c r="AA10" s="1207"/>
      <c r="AB10" s="1207"/>
      <c r="AC10" s="1207"/>
      <c r="AD10" s="1207"/>
      <c r="AE10" s="1196"/>
      <c r="AF10" s="1207"/>
      <c r="AG10" s="1207"/>
      <c r="AH10" s="1207"/>
      <c r="AI10" s="1207"/>
      <c r="AJ10" s="1196"/>
      <c r="AK10" s="1207"/>
      <c r="AL10" s="1207"/>
      <c r="AM10" s="1207"/>
      <c r="AN10" s="1207"/>
      <c r="AO10" s="1196"/>
      <c r="AP10" s="1207"/>
      <c r="AQ10" s="1207"/>
      <c r="AR10" s="1207"/>
      <c r="AS10" s="1208"/>
    </row>
    <row r="11" spans="1:45" s="857" customFormat="1">
      <c r="B11" s="882"/>
      <c r="C11" s="861"/>
      <c r="D11" s="861"/>
      <c r="E11" s="861"/>
      <c r="F11" s="872"/>
      <c r="G11" s="1122"/>
      <c r="H11" s="1497"/>
      <c r="I11" s="1168"/>
      <c r="J11" s="1225" t="s">
        <v>804</v>
      </c>
      <c r="K11" s="1213" t="e">
        <f>-G17</f>
        <v>#REF!</v>
      </c>
      <c r="L11" s="1211"/>
      <c r="M11" s="1234"/>
      <c r="N11" s="1235"/>
      <c r="O11" s="1211" t="s">
        <v>1526</v>
      </c>
      <c r="P11" s="1213">
        <v>0</v>
      </c>
      <c r="Q11" s="1214" t="s">
        <v>805</v>
      </c>
      <c r="R11" s="1215" t="e">
        <f>+G12</f>
        <v>#REF!</v>
      </c>
      <c r="S11" s="1204"/>
      <c r="V11" s="1205" t="s">
        <v>1622</v>
      </c>
      <c r="W11" s="1207">
        <f>-Lead!K223</f>
        <v>0</v>
      </c>
      <c r="X11" s="1207"/>
      <c r="Y11" s="1207">
        <f>W7+W11</f>
        <v>-2216</v>
      </c>
      <c r="Z11" s="1207"/>
      <c r="AA11" s="1207" t="s">
        <v>1622</v>
      </c>
      <c r="AB11" s="1207">
        <f>-Lead!K224</f>
        <v>0</v>
      </c>
      <c r="AC11" s="1207"/>
      <c r="AD11" s="1207">
        <f>AB7+AB11</f>
        <v>39936.504999999997</v>
      </c>
      <c r="AE11" s="1196"/>
      <c r="AF11" s="1207" t="s">
        <v>1622</v>
      </c>
      <c r="AG11" s="1207">
        <f>-Lead!K222</f>
        <v>0</v>
      </c>
      <c r="AH11" s="1207"/>
      <c r="AI11" s="1207">
        <f>AG7+AG11</f>
        <v>733.49300000001676</v>
      </c>
      <c r="AJ11" s="1196"/>
      <c r="AK11" s="1207" t="s">
        <v>1622</v>
      </c>
      <c r="AL11" s="1207">
        <f>-Lead!P222</f>
        <v>0</v>
      </c>
      <c r="AM11" s="1207"/>
      <c r="AN11" s="1207">
        <f>AL7+AL11</f>
        <v>0</v>
      </c>
      <c r="AO11" s="1196"/>
      <c r="AP11" s="1207" t="s">
        <v>1622</v>
      </c>
      <c r="AQ11" s="1207">
        <f>-Lead!U222</f>
        <v>0</v>
      </c>
      <c r="AR11" s="1207"/>
      <c r="AS11" s="1208">
        <f>AQ7+AQ11</f>
        <v>0</v>
      </c>
    </row>
    <row r="12" spans="1:45" s="857" customFormat="1" ht="13.5" thickBot="1">
      <c r="B12" s="1237" t="s">
        <v>752</v>
      </c>
      <c r="C12" s="861"/>
      <c r="D12" s="861"/>
      <c r="E12" s="861"/>
      <c r="F12" s="872"/>
      <c r="G12" s="1122" t="e">
        <f>IS!#REF!</f>
        <v>#REF!</v>
      </c>
      <c r="H12" s="861"/>
      <c r="I12" s="1122">
        <v>91298</v>
      </c>
      <c r="J12" s="1225" t="s">
        <v>806</v>
      </c>
      <c r="K12" s="1235">
        <v>0</v>
      </c>
      <c r="L12" s="1211"/>
      <c r="M12" s="1221"/>
      <c r="N12" s="1238"/>
      <c r="O12" s="1211" t="s">
        <v>807</v>
      </c>
      <c r="P12" s="1213">
        <f>BS!F26</f>
        <v>2079</v>
      </c>
      <c r="Q12" s="857" t="s">
        <v>808</v>
      </c>
      <c r="R12" s="1215" t="e">
        <f>UHF!F38-'Cashflow (2)'!R11</f>
        <v>#REF!</v>
      </c>
      <c r="S12" s="1204"/>
      <c r="V12" s="1205"/>
      <c r="W12" s="1207"/>
      <c r="X12" s="1207"/>
      <c r="Y12" s="1207"/>
      <c r="Z12" s="1207"/>
      <c r="AA12" s="1196"/>
      <c r="AB12" s="1196"/>
      <c r="AC12" s="1196"/>
      <c r="AD12" s="1196"/>
      <c r="AE12" s="1196"/>
      <c r="AF12" s="1196"/>
      <c r="AG12" s="1196"/>
      <c r="AH12" s="1196"/>
      <c r="AI12" s="1196"/>
      <c r="AJ12" s="1196"/>
      <c r="AK12" s="1196"/>
      <c r="AL12" s="1196"/>
      <c r="AM12" s="1196"/>
      <c r="AN12" s="1196"/>
      <c r="AO12" s="1196"/>
      <c r="AP12" s="1196"/>
      <c r="AQ12" s="1196"/>
      <c r="AR12" s="1196"/>
      <c r="AS12" s="1239"/>
    </row>
    <row r="13" spans="1:45" s="857" customFormat="1" ht="13.5" thickBot="1">
      <c r="B13" s="861"/>
      <c r="C13" s="861"/>
      <c r="D13" s="861"/>
      <c r="E13" s="861"/>
      <c r="F13" s="872"/>
      <c r="G13" s="1122"/>
      <c r="H13" s="861"/>
      <c r="I13" s="1122"/>
      <c r="J13" s="1240"/>
      <c r="K13" s="1213"/>
      <c r="L13" s="1225"/>
      <c r="M13" s="1234"/>
      <c r="N13" s="1238"/>
      <c r="O13" s="1211" t="s">
        <v>809</v>
      </c>
      <c r="P13" s="1213">
        <v>2483311</v>
      </c>
      <c r="Q13" s="1214" t="s">
        <v>810</v>
      </c>
      <c r="R13" s="1215" t="e">
        <f>UHF!F43</f>
        <v>#REF!</v>
      </c>
      <c r="S13" s="1204"/>
      <c r="V13" s="1205"/>
      <c r="W13" s="1241" t="s">
        <v>1627</v>
      </c>
      <c r="X13" s="1242"/>
      <c r="Y13" s="1243">
        <f>Y11+AD11+AI11+AN11+AS11</f>
        <v>38453.998000000014</v>
      </c>
      <c r="Z13" s="1207"/>
      <c r="AA13" s="1196"/>
      <c r="AB13" s="1196"/>
      <c r="AC13" s="1196"/>
      <c r="AD13" s="1196"/>
      <c r="AE13" s="1196"/>
      <c r="AF13" s="1196"/>
      <c r="AG13" s="1196"/>
      <c r="AH13" s="1196"/>
      <c r="AI13" s="1196"/>
      <c r="AJ13" s="1196"/>
      <c r="AK13" s="1196"/>
      <c r="AL13" s="1196"/>
      <c r="AM13" s="1196"/>
      <c r="AN13" s="1196"/>
      <c r="AO13" s="1196"/>
      <c r="AP13" s="1196"/>
      <c r="AQ13" s="1196"/>
      <c r="AR13" s="1196"/>
      <c r="AS13" s="1239"/>
    </row>
    <row r="14" spans="1:45" s="857" customFormat="1" ht="13.5" thickBot="1">
      <c r="B14" s="882" t="s">
        <v>1617</v>
      </c>
      <c r="C14" s="861"/>
      <c r="D14" s="861"/>
      <c r="E14" s="861"/>
      <c r="F14" s="872"/>
      <c r="G14" s="1122"/>
      <c r="H14" s="861"/>
      <c r="I14" s="1122"/>
      <c r="J14" s="1240"/>
      <c r="K14" s="1213"/>
      <c r="L14" s="1225"/>
      <c r="M14" s="1234"/>
      <c r="N14" s="1238"/>
      <c r="O14" s="1211"/>
      <c r="P14" s="1196"/>
      <c r="Q14" s="1211"/>
      <c r="R14" s="1221"/>
      <c r="S14" s="1204"/>
      <c r="V14" s="1244"/>
      <c r="W14" s="1245"/>
      <c r="X14" s="1245"/>
      <c r="Y14" s="1245"/>
      <c r="Z14" s="1245"/>
      <c r="AA14" s="1246"/>
      <c r="AB14" s="1246"/>
      <c r="AC14" s="1246"/>
      <c r="AD14" s="1246"/>
      <c r="AE14" s="1246"/>
      <c r="AF14" s="1246"/>
      <c r="AG14" s="1246"/>
      <c r="AH14" s="1246"/>
      <c r="AI14" s="1246"/>
      <c r="AJ14" s="1246"/>
      <c r="AK14" s="1246"/>
      <c r="AL14" s="1246"/>
      <c r="AM14" s="1246"/>
      <c r="AN14" s="1246"/>
      <c r="AO14" s="1246"/>
      <c r="AP14" s="1246"/>
      <c r="AQ14" s="1246"/>
      <c r="AR14" s="1246"/>
      <c r="AS14" s="1247"/>
    </row>
    <row r="15" spans="1:45" s="857" customFormat="1" ht="5.25" customHeight="1" thickTop="1">
      <c r="B15" s="882"/>
      <c r="C15" s="861"/>
      <c r="D15" s="861"/>
      <c r="E15" s="861"/>
      <c r="F15" s="872"/>
      <c r="G15" s="1122"/>
      <c r="H15" s="861"/>
      <c r="I15" s="1122"/>
      <c r="J15" s="1240"/>
      <c r="K15" s="1213"/>
      <c r="L15" s="1225"/>
      <c r="M15" s="1234"/>
      <c r="N15" s="1238"/>
      <c r="O15" s="1211"/>
      <c r="P15" s="1196"/>
      <c r="Q15" s="1211"/>
      <c r="R15" s="1221"/>
      <c r="V15" s="1204"/>
      <c r="W15" s="1204"/>
      <c r="X15" s="1204"/>
      <c r="Y15" s="1204"/>
      <c r="Z15" s="1204"/>
    </row>
    <row r="16" spans="1:45" s="857" customFormat="1" ht="12" customHeight="1">
      <c r="B16" s="998" t="s">
        <v>1850</v>
      </c>
      <c r="C16" s="998"/>
      <c r="D16" s="998"/>
      <c r="E16" s="998"/>
      <c r="F16" s="872"/>
      <c r="G16" s="1122"/>
      <c r="H16" s="861"/>
      <c r="I16" s="1122"/>
      <c r="J16" s="1240"/>
      <c r="K16" s="1213"/>
      <c r="L16" s="1225"/>
      <c r="M16" s="1234"/>
      <c r="N16" s="1238"/>
      <c r="O16" s="1248"/>
      <c r="P16" s="1249">
        <f>SUM(P3:P13)</f>
        <v>2549158</v>
      </c>
      <c r="Q16" s="1250"/>
      <c r="R16" s="1251">
        <f>+P16</f>
        <v>2549158</v>
      </c>
      <c r="V16" s="1204"/>
      <c r="W16" s="1204"/>
      <c r="X16" s="1204"/>
      <c r="Y16" s="1204"/>
      <c r="Z16" s="1204"/>
    </row>
    <row r="17" spans="2:26" s="857" customFormat="1">
      <c r="B17" s="1185" t="s">
        <v>713</v>
      </c>
      <c r="C17" s="1185"/>
      <c r="D17" s="1185"/>
      <c r="E17" s="1185"/>
      <c r="F17" s="872"/>
      <c r="G17" s="1122" t="e">
        <f>-IS!#REF!</f>
        <v>#REF!</v>
      </c>
      <c r="H17" s="863"/>
      <c r="I17" s="1122">
        <v>3885</v>
      </c>
      <c r="J17" s="1252"/>
      <c r="K17" s="1249"/>
      <c r="L17" s="1252" t="s">
        <v>811</v>
      </c>
      <c r="M17" s="1253">
        <f>BS!F12</f>
        <v>535342.76199999999</v>
      </c>
      <c r="N17" s="1238"/>
      <c r="V17" s="1204"/>
      <c r="W17" s="1204"/>
      <c r="X17" s="1204"/>
      <c r="Y17" s="1204"/>
      <c r="Z17" s="1204"/>
    </row>
    <row r="18" spans="2:26" s="857" customFormat="1" ht="3" customHeight="1">
      <c r="B18" s="1185"/>
      <c r="C18" s="1185"/>
      <c r="D18" s="1185"/>
      <c r="E18" s="1185"/>
      <c r="F18" s="872"/>
      <c r="G18" s="1122"/>
      <c r="H18" s="863"/>
      <c r="I18" s="1122"/>
      <c r="J18" s="1235"/>
      <c r="K18" s="1213"/>
      <c r="L18" s="1225"/>
      <c r="M18" s="1254"/>
      <c r="N18" s="1238"/>
      <c r="V18" s="1204"/>
      <c r="W18" s="1204"/>
      <c r="X18" s="1204"/>
      <c r="Y18" s="1204"/>
      <c r="Z18" s="1204"/>
    </row>
    <row r="19" spans="2:26" s="857" customFormat="1" ht="12" hidden="1" customHeight="1" thickBot="1">
      <c r="B19" s="1255" t="s">
        <v>1490</v>
      </c>
      <c r="C19" s="1008"/>
      <c r="D19" s="1008"/>
      <c r="E19" s="1008"/>
      <c r="F19" s="872"/>
      <c r="G19" s="1122"/>
      <c r="H19" s="863"/>
      <c r="I19" s="1122"/>
      <c r="J19" s="1238"/>
      <c r="K19" s="858">
        <f>+M19</f>
        <v>535342.76199999999</v>
      </c>
      <c r="L19" s="1225"/>
      <c r="M19" s="1235">
        <f>SUM(M3:M17)</f>
        <v>535342.76199999999</v>
      </c>
      <c r="N19" s="1238"/>
      <c r="V19" s="2951" t="s">
        <v>1628</v>
      </c>
      <c r="W19" s="2951"/>
      <c r="X19" s="2951"/>
      <c r="Y19" s="2951"/>
      <c r="Z19" s="1204"/>
    </row>
    <row r="20" spans="2:26" s="857" customFormat="1" ht="12" hidden="1" customHeight="1">
      <c r="B20" s="1121" t="s">
        <v>812</v>
      </c>
      <c r="C20" s="1008"/>
      <c r="D20" s="1008"/>
      <c r="E20" s="1008"/>
      <c r="F20" s="872"/>
      <c r="G20" s="1122"/>
      <c r="H20" s="863"/>
      <c r="I20" s="1122"/>
      <c r="J20" s="1238"/>
      <c r="K20" s="858"/>
      <c r="L20" s="1235"/>
      <c r="M20" s="1235"/>
      <c r="N20" s="1238"/>
      <c r="V20" s="1204" t="s">
        <v>1629</v>
      </c>
      <c r="W20" s="1256">
        <f>BS!H14</f>
        <v>5290</v>
      </c>
      <c r="X20" s="1204"/>
      <c r="Y20" s="1204"/>
      <c r="Z20" s="1204"/>
    </row>
    <row r="21" spans="2:26" s="857" customFormat="1" ht="12" hidden="1" customHeight="1">
      <c r="B21" s="1257" t="s">
        <v>736</v>
      </c>
      <c r="C21" s="861"/>
      <c r="D21" s="1008"/>
      <c r="E21" s="1008"/>
      <c r="F21" s="872"/>
      <c r="G21" s="1122">
        <v>0</v>
      </c>
      <c r="H21" s="863"/>
      <c r="I21" s="1123">
        <v>0</v>
      </c>
      <c r="J21" s="1238"/>
      <c r="K21" s="858"/>
      <c r="L21" s="1235"/>
      <c r="M21" s="1235"/>
      <c r="N21" s="1238"/>
      <c r="V21" s="1204"/>
      <c r="W21" s="1258"/>
      <c r="X21" s="1204"/>
      <c r="Y21" s="1204"/>
      <c r="Z21" s="1204"/>
    </row>
    <row r="22" spans="2:26" s="857" customFormat="1" ht="12" hidden="1" customHeight="1">
      <c r="B22" s="1257" t="s">
        <v>1618</v>
      </c>
      <c r="C22" s="861"/>
      <c r="D22" s="1008"/>
      <c r="E22" s="1008"/>
      <c r="F22" s="872"/>
      <c r="G22" s="1122">
        <v>0</v>
      </c>
      <c r="H22" s="863"/>
      <c r="I22" s="1123">
        <v>0</v>
      </c>
      <c r="J22" s="1238"/>
      <c r="K22" s="858"/>
      <c r="L22" s="1235"/>
      <c r="M22" s="1235"/>
      <c r="N22" s="1238"/>
      <c r="V22" s="1204" t="s">
        <v>1630</v>
      </c>
      <c r="W22" s="1258"/>
      <c r="X22" s="1204"/>
      <c r="Y22" s="1204"/>
      <c r="Z22" s="1204"/>
    </row>
    <row r="23" spans="2:26" s="857" customFormat="1">
      <c r="B23" s="861" t="s">
        <v>1864</v>
      </c>
      <c r="C23" s="861"/>
      <c r="D23" s="861"/>
      <c r="E23" s="861"/>
      <c r="F23" s="872"/>
      <c r="G23" s="1122" t="e">
        <f>IS!#REF!</f>
        <v>#REF!</v>
      </c>
      <c r="H23" s="863"/>
      <c r="I23" s="1123">
        <v>1863</v>
      </c>
      <c r="J23" s="1238"/>
      <c r="K23" s="858"/>
      <c r="L23" s="1238"/>
      <c r="M23" s="1238"/>
      <c r="N23" s="1238"/>
      <c r="P23" s="856">
        <v>61533</v>
      </c>
      <c r="Q23" s="856"/>
      <c r="V23" s="1204" t="s">
        <v>1633</v>
      </c>
      <c r="W23" s="1258">
        <f>-(Lead!K241+Lead!K284+Lead!K239)</f>
        <v>0</v>
      </c>
      <c r="X23" s="1204" t="s">
        <v>1635</v>
      </c>
      <c r="Y23" s="1204">
        <f>W32-Y32</f>
        <v>-9381</v>
      </c>
      <c r="Z23" s="1204"/>
    </row>
    <row r="24" spans="2:26" s="857" customFormat="1" ht="12.75" hidden="1" customHeight="1">
      <c r="B24" s="998" t="s">
        <v>1669</v>
      </c>
      <c r="C24" s="861"/>
      <c r="D24" s="861"/>
      <c r="E24" s="861"/>
      <c r="F24" s="872"/>
      <c r="G24" s="1122">
        <v>0</v>
      </c>
      <c r="H24" s="863"/>
      <c r="I24" s="1123">
        <v>0</v>
      </c>
      <c r="J24" s="2952" t="s">
        <v>687</v>
      </c>
      <c r="K24" s="2953"/>
      <c r="L24" s="2953"/>
      <c r="M24" s="2954"/>
      <c r="N24" s="1238"/>
      <c r="P24" s="856">
        <v>24754</v>
      </c>
      <c r="Q24" s="856">
        <f>P23-P24</f>
        <v>36779</v>
      </c>
      <c r="V24" s="1204" t="s">
        <v>1353</v>
      </c>
      <c r="W24" s="1258"/>
      <c r="X24" s="1204" t="s">
        <v>1636</v>
      </c>
      <c r="Y24" s="1204"/>
      <c r="Z24" s="1204"/>
    </row>
    <row r="25" spans="2:26" s="857" customFormat="1" ht="6" customHeight="1">
      <c r="B25" s="1259"/>
      <c r="C25" s="861"/>
      <c r="D25" s="861"/>
      <c r="E25" s="861"/>
      <c r="F25" s="872"/>
      <c r="G25" s="1122"/>
      <c r="H25" s="1126"/>
      <c r="I25" s="1123"/>
      <c r="J25" s="1197"/>
      <c r="K25" s="1198"/>
      <c r="L25" s="1199"/>
      <c r="M25" s="1200"/>
      <c r="N25" s="858"/>
      <c r="V25" s="1204"/>
      <c r="W25" s="1258"/>
      <c r="X25" s="1204"/>
      <c r="Y25" s="1204"/>
      <c r="Z25" s="1204"/>
    </row>
    <row r="26" spans="2:26" s="857" customFormat="1" ht="17.25" customHeight="1">
      <c r="B26" s="861"/>
      <c r="C26" s="861"/>
      <c r="D26" s="861"/>
      <c r="E26" s="861"/>
      <c r="F26" s="872"/>
      <c r="G26" s="1260" t="e">
        <f>SUM(G12:G24)</f>
        <v>#REF!</v>
      </c>
      <c r="H26" s="1126"/>
      <c r="I26" s="1261">
        <f>SUM(I12:I24)</f>
        <v>97046</v>
      </c>
      <c r="J26" s="1219" t="s">
        <v>798</v>
      </c>
      <c r="K26" s="1220">
        <f>BS!H14</f>
        <v>5290</v>
      </c>
      <c r="L26" s="1211"/>
      <c r="M26" s="1221"/>
      <c r="N26" s="858" t="e">
        <f>G17</f>
        <v>#REF!</v>
      </c>
      <c r="V26" s="857" t="s">
        <v>1634</v>
      </c>
      <c r="W26" s="1258"/>
    </row>
    <row r="27" spans="2:26" s="857" customFormat="1" ht="7.5" customHeight="1">
      <c r="B27" s="861"/>
      <c r="C27" s="861"/>
      <c r="D27" s="861"/>
      <c r="E27" s="861"/>
      <c r="F27" s="872"/>
      <c r="G27" s="1188"/>
      <c r="H27" s="863"/>
      <c r="I27" s="863"/>
      <c r="J27" s="1240"/>
      <c r="K27" s="1220"/>
      <c r="L27" s="1211"/>
      <c r="M27" s="1221"/>
      <c r="N27" s="858"/>
      <c r="O27" s="1213"/>
      <c r="P27" s="1213"/>
      <c r="Q27" s="1213"/>
      <c r="R27" s="858"/>
      <c r="W27" s="1258"/>
    </row>
    <row r="28" spans="2:26" s="857" customFormat="1">
      <c r="B28" s="882" t="s">
        <v>813</v>
      </c>
      <c r="C28" s="861"/>
      <c r="D28" s="861"/>
      <c r="E28" s="861"/>
      <c r="F28" s="872"/>
      <c r="G28" s="1122"/>
      <c r="H28" s="863"/>
      <c r="I28" s="1168"/>
      <c r="J28" s="1240"/>
      <c r="K28" s="1227"/>
      <c r="L28" s="1211"/>
      <c r="M28" s="1228"/>
      <c r="N28" s="858" t="e">
        <f>N30+G30</f>
        <v>#REF!</v>
      </c>
      <c r="O28" s="859"/>
      <c r="P28" s="858"/>
      <c r="Q28" s="858"/>
      <c r="R28" s="858"/>
      <c r="V28" s="857" t="s">
        <v>1631</v>
      </c>
      <c r="W28" s="1258"/>
    </row>
    <row r="29" spans="2:26" s="857" customFormat="1" ht="3" customHeight="1">
      <c r="B29" s="882"/>
      <c r="C29" s="861"/>
      <c r="D29" s="861"/>
      <c r="E29" s="861"/>
      <c r="F29" s="872"/>
      <c r="G29" s="1122"/>
      <c r="H29" s="863"/>
      <c r="I29" s="1168"/>
      <c r="J29" s="1225"/>
      <c r="K29" s="1213"/>
      <c r="L29" s="1225" t="s">
        <v>809</v>
      </c>
      <c r="M29" s="1262">
        <f>BS!F14</f>
        <v>14671</v>
      </c>
      <c r="N29" s="858"/>
      <c r="O29" s="859"/>
      <c r="P29" s="858"/>
      <c r="Q29" s="858"/>
      <c r="R29" s="858"/>
      <c r="W29" s="1258"/>
    </row>
    <row r="30" spans="2:26" s="857" customFormat="1" ht="15.75" customHeight="1">
      <c r="B30" s="1121" t="s">
        <v>814</v>
      </c>
      <c r="C30" s="861"/>
      <c r="D30" s="861"/>
      <c r="E30" s="861"/>
      <c r="F30" s="872"/>
      <c r="G30" s="1263" t="e">
        <f>-BS!J12-G17+'14-17'!L467+OCI!#REF!+1</f>
        <v>#REF!</v>
      </c>
      <c r="H30" s="863"/>
      <c r="I30" s="1264">
        <v>322576</v>
      </c>
      <c r="J30" s="1235"/>
      <c r="K30" s="1213"/>
      <c r="L30" s="1225"/>
      <c r="M30" s="1234"/>
      <c r="N30" s="858">
        <v>-302255</v>
      </c>
      <c r="O30" s="1213"/>
      <c r="P30" s="1213"/>
      <c r="Q30" s="1213"/>
      <c r="R30" s="858"/>
      <c r="V30" s="857" t="s">
        <v>1632</v>
      </c>
      <c r="W30" s="1258"/>
      <c r="X30" s="857" t="s">
        <v>811</v>
      </c>
      <c r="Y30" s="1204">
        <f>BS!F14</f>
        <v>14671</v>
      </c>
    </row>
    <row r="31" spans="2:26" s="857" customFormat="1">
      <c r="B31" s="1121" t="str">
        <f>BS!A14</f>
        <v>Dividend, profit and other receivable</v>
      </c>
      <c r="C31" s="861"/>
      <c r="D31" s="861"/>
      <c r="E31" s="861"/>
      <c r="F31" s="872"/>
      <c r="G31" s="1265">
        <f>-BS!J14</f>
        <v>-9381</v>
      </c>
      <c r="H31" s="863"/>
      <c r="I31" s="1266">
        <v>643</v>
      </c>
      <c r="J31" s="1267" t="s">
        <v>815</v>
      </c>
      <c r="K31" s="1249">
        <f>+K26-M29</f>
        <v>-9381</v>
      </c>
      <c r="L31" s="1267"/>
      <c r="M31" s="1268"/>
      <c r="N31" s="858"/>
      <c r="O31" s="1213"/>
      <c r="P31" s="1213"/>
      <c r="Q31" s="1213"/>
      <c r="R31" s="858"/>
      <c r="W31" s="1258"/>
    </row>
    <row r="32" spans="2:26" ht="13.5" thickBot="1">
      <c r="B32" s="1121" t="s">
        <v>688</v>
      </c>
      <c r="G32" s="1265">
        <f>-BS!J17</f>
        <v>192</v>
      </c>
      <c r="H32" s="863"/>
      <c r="I32" s="1266">
        <v>11</v>
      </c>
      <c r="J32" s="875" t="s">
        <v>816</v>
      </c>
      <c r="K32" s="861"/>
      <c r="L32" s="861"/>
      <c r="M32" s="861"/>
      <c r="W32" s="1269">
        <f>SUM(W20:W30)</f>
        <v>5290</v>
      </c>
      <c r="Y32" s="1269">
        <f>SUM(Y29:Y30)</f>
        <v>14671</v>
      </c>
    </row>
    <row r="33" spans="2:19" s="857" customFormat="1">
      <c r="B33" s="1121" t="s">
        <v>1332</v>
      </c>
      <c r="C33" s="861"/>
      <c r="D33" s="861"/>
      <c r="E33" s="861"/>
      <c r="F33" s="872"/>
      <c r="G33" s="1265" t="e">
        <f>-BS!#REF!</f>
        <v>#REF!</v>
      </c>
      <c r="H33" s="863"/>
      <c r="I33" s="1266">
        <v>-21000</v>
      </c>
      <c r="J33" s="888" t="s">
        <v>817</v>
      </c>
      <c r="K33" s="1213" t="e">
        <f>G30+G17</f>
        <v>#REF!</v>
      </c>
      <c r="L33" s="1213" t="e">
        <f>K33-'14-17'!L467</f>
        <v>#REF!</v>
      </c>
      <c r="M33" s="1235">
        <f>BS!J12</f>
        <v>60125.761999999988</v>
      </c>
      <c r="N33" s="858" t="e">
        <f>M33+L33</f>
        <v>#REF!</v>
      </c>
      <c r="O33" s="1213" t="s">
        <v>780</v>
      </c>
      <c r="P33" s="1213" t="s">
        <v>803</v>
      </c>
      <c r="Q33" s="1213"/>
      <c r="R33" s="858"/>
    </row>
    <row r="34" spans="2:19" s="857" customFormat="1">
      <c r="B34" s="1121" t="e">
        <f>BS!#REF!</f>
        <v>#REF!</v>
      </c>
      <c r="C34" s="861"/>
      <c r="D34" s="861"/>
      <c r="E34" s="861"/>
      <c r="F34" s="872"/>
      <c r="G34" s="1265" t="e">
        <f>-BS!#REF!</f>
        <v>#REF!</v>
      </c>
      <c r="H34" s="863"/>
      <c r="I34" s="1266">
        <v>10919</v>
      </c>
      <c r="J34" s="888"/>
      <c r="K34" s="1213"/>
      <c r="L34" s="1213"/>
      <c r="M34" s="1235"/>
      <c r="N34" s="858"/>
      <c r="O34" s="1213"/>
      <c r="P34" s="1213"/>
      <c r="Q34" s="1213"/>
      <c r="R34" s="858"/>
    </row>
    <row r="35" spans="2:19" s="857" customFormat="1">
      <c r="B35" s="1121" t="str">
        <f>BS!A18</f>
        <v>Receivable from National Clearing Company of Pakistan Limited</v>
      </c>
      <c r="C35" s="861"/>
      <c r="D35" s="861"/>
      <c r="E35" s="861"/>
      <c r="F35" s="872"/>
      <c r="G35" s="1265">
        <f>-BS!J18</f>
        <v>5722</v>
      </c>
      <c r="H35" s="863"/>
      <c r="I35" s="1266">
        <v>25058</v>
      </c>
      <c r="J35" s="888"/>
      <c r="K35" s="1213"/>
      <c r="L35" s="1213"/>
      <c r="M35" s="1235"/>
      <c r="N35" s="858"/>
      <c r="O35" s="1213"/>
      <c r="P35" s="1213"/>
      <c r="Q35" s="1213"/>
      <c r="R35" s="858"/>
    </row>
    <row r="36" spans="2:19" s="864" customFormat="1" ht="15.75" customHeight="1">
      <c r="B36" s="1189" t="s">
        <v>1396</v>
      </c>
      <c r="C36" s="865"/>
      <c r="D36" s="865"/>
      <c r="E36" s="865"/>
      <c r="F36" s="1270"/>
      <c r="G36" s="1271" t="e">
        <f>-BS!#REF!</f>
        <v>#REF!</v>
      </c>
      <c r="H36" s="1272"/>
      <c r="I36" s="1273">
        <v>66813</v>
      </c>
      <c r="J36" s="1274"/>
      <c r="K36" s="1275"/>
      <c r="L36" s="1275"/>
      <c r="M36" s="1276"/>
      <c r="N36" s="1277"/>
      <c r="O36" s="1275"/>
      <c r="P36" s="1275"/>
      <c r="Q36" s="1275"/>
      <c r="R36" s="1277"/>
    </row>
    <row r="37" spans="2:19" s="857" customFormat="1" ht="15.75" customHeight="1">
      <c r="B37" s="998"/>
      <c r="C37" s="861"/>
      <c r="D37" s="861"/>
      <c r="E37" s="861"/>
      <c r="F37" s="872"/>
      <c r="G37" s="1278" t="e">
        <f>SUM(G30:G36)</f>
        <v>#REF!</v>
      </c>
      <c r="H37" s="863"/>
      <c r="I37" s="1168">
        <f>SUM(I30:I36)</f>
        <v>405020</v>
      </c>
      <c r="J37" s="2955" t="s">
        <v>818</v>
      </c>
      <c r="K37" s="2956"/>
      <c r="L37" s="2956"/>
      <c r="M37" s="2957"/>
      <c r="N37" s="858"/>
      <c r="O37" s="1213">
        <v>248411</v>
      </c>
      <c r="P37" s="1213">
        <v>-85647</v>
      </c>
      <c r="Q37" s="1213"/>
      <c r="R37" s="858"/>
    </row>
    <row r="38" spans="2:19" s="857" customFormat="1" ht="12" customHeight="1">
      <c r="B38" s="882" t="s">
        <v>819</v>
      </c>
      <c r="C38" s="861"/>
      <c r="D38" s="861"/>
      <c r="E38" s="861"/>
      <c r="F38" s="872"/>
      <c r="G38" s="1278"/>
      <c r="H38" s="863"/>
      <c r="I38" s="1168"/>
      <c r="J38" s="1279" t="s">
        <v>798</v>
      </c>
      <c r="K38" s="1203">
        <f>BS!$H$17</f>
        <v>3416</v>
      </c>
      <c r="L38" s="1280"/>
      <c r="M38" s="1281"/>
      <c r="N38" s="858"/>
      <c r="O38" s="858">
        <f>+O37+P37</f>
        <v>162764</v>
      </c>
      <c r="P38" s="1213"/>
      <c r="Q38" s="858"/>
      <c r="R38" s="1213"/>
    </row>
    <row r="39" spans="2:19" s="857" customFormat="1" hidden="1">
      <c r="B39" s="882"/>
      <c r="C39" s="861"/>
      <c r="D39" s="861"/>
      <c r="E39" s="861"/>
      <c r="F39" s="872"/>
      <c r="G39" s="1122"/>
      <c r="H39" s="863"/>
      <c r="I39" s="1168"/>
      <c r="J39" s="1211"/>
      <c r="K39" s="1221"/>
      <c r="L39" s="1211"/>
      <c r="M39" s="1221"/>
      <c r="N39" s="858"/>
      <c r="O39" s="858"/>
      <c r="P39" s="858"/>
      <c r="Q39" s="858"/>
      <c r="R39" s="858"/>
    </row>
    <row r="40" spans="2:19" s="857" customFormat="1" ht="16.5" customHeight="1">
      <c r="B40" s="1282" t="str">
        <f>BS!A22</f>
        <v xml:space="preserve">Payable to MCB-Arif Habib Savings and Investments Limited -  </v>
      </c>
      <c r="C40" s="861"/>
      <c r="D40" s="861"/>
      <c r="E40" s="861"/>
      <c r="F40" s="872"/>
      <c r="G40" s="1263">
        <f>BS!J23</f>
        <v>74</v>
      </c>
      <c r="H40" s="863"/>
      <c r="I40" s="1264">
        <v>-218</v>
      </c>
      <c r="J40" s="1211"/>
      <c r="K40" s="1221"/>
      <c r="L40" s="1211"/>
      <c r="M40" s="1221"/>
      <c r="N40" s="1235"/>
      <c r="O40" s="1213"/>
      <c r="P40" s="1213"/>
      <c r="Q40" s="1213"/>
      <c r="R40" s="858"/>
    </row>
    <row r="41" spans="2:19" s="857" customFormat="1">
      <c r="B41" s="1282" t="str">
        <f>BS!A24</f>
        <v>Payable to Central Depository Company of Pakistan Limited - Trustee</v>
      </c>
      <c r="C41" s="861"/>
      <c r="D41" s="861"/>
      <c r="E41" s="861"/>
      <c r="F41" s="872"/>
      <c r="G41" s="1265">
        <f>BS!J24</f>
        <v>15</v>
      </c>
      <c r="H41" s="863"/>
      <c r="I41" s="1266">
        <v>-45</v>
      </c>
      <c r="J41" s="1211"/>
      <c r="K41" s="1221"/>
      <c r="L41" s="1211"/>
      <c r="M41" s="1221"/>
      <c r="N41" s="1235"/>
      <c r="O41" s="1213"/>
      <c r="P41" s="1213"/>
      <c r="Q41" s="1213"/>
      <c r="R41" s="858"/>
    </row>
    <row r="42" spans="2:19" s="857" customFormat="1">
      <c r="B42" s="1282" t="str">
        <f>BS!A25</f>
        <v xml:space="preserve">Payable to the Securities and Exchange Commission of Pakistan </v>
      </c>
      <c r="C42" s="861"/>
      <c r="D42" s="861"/>
      <c r="E42" s="861"/>
      <c r="F42" s="872"/>
      <c r="G42" s="1265">
        <f>BS!J25</f>
        <v>-99</v>
      </c>
      <c r="H42" s="863"/>
      <c r="I42" s="1266">
        <v>-448</v>
      </c>
      <c r="J42" s="1211"/>
      <c r="K42" s="1221"/>
      <c r="L42" s="1211" t="s">
        <v>809</v>
      </c>
      <c r="M42" s="1283">
        <f>BS!F17</f>
        <v>3224</v>
      </c>
      <c r="N42" s="1235"/>
    </row>
    <row r="43" spans="2:19" s="857" customFormat="1">
      <c r="B43" s="1282" t="e">
        <f>BS!#REF!</f>
        <v>#REF!</v>
      </c>
      <c r="C43" s="861"/>
      <c r="D43" s="861"/>
      <c r="E43" s="861"/>
      <c r="F43" s="872"/>
      <c r="G43" s="1265" t="e">
        <f>BS!#REF!</f>
        <v>#REF!</v>
      </c>
      <c r="H43" s="863"/>
      <c r="I43" s="1266">
        <v>-39299</v>
      </c>
      <c r="J43" s="1211"/>
      <c r="K43" s="1221"/>
      <c r="L43" s="1211"/>
      <c r="M43" s="1221"/>
      <c r="N43" s="1235"/>
    </row>
    <row r="44" spans="2:19" s="864" customFormat="1" ht="17.25" customHeight="1">
      <c r="B44" s="1189" t="s">
        <v>692</v>
      </c>
      <c r="C44" s="865"/>
      <c r="D44" s="865"/>
      <c r="E44" s="865"/>
      <c r="F44" s="1270"/>
      <c r="G44" s="1271" t="e">
        <f>BS!J27-G23</f>
        <v>#REF!</v>
      </c>
      <c r="H44" s="1272"/>
      <c r="I44" s="1273">
        <v>-4529</v>
      </c>
      <c r="J44" s="1284"/>
      <c r="K44" s="1285"/>
      <c r="L44" s="1286"/>
      <c r="M44" s="1287"/>
      <c r="N44" s="1276"/>
    </row>
    <row r="45" spans="2:19" s="868" customFormat="1" ht="20.25" customHeight="1">
      <c r="B45" s="870"/>
      <c r="C45" s="870"/>
      <c r="D45" s="870"/>
      <c r="E45" s="870"/>
      <c r="F45" s="1288"/>
      <c r="G45" s="1079" t="e">
        <f>SUM(G40:G44)</f>
        <v>#REF!</v>
      </c>
      <c r="H45" s="1101"/>
      <c r="I45" s="1063">
        <f>SUM(I40:I44)</f>
        <v>-44539</v>
      </c>
      <c r="J45" s="1289" t="s">
        <v>820</v>
      </c>
      <c r="K45" s="1290">
        <f>+K38-M42</f>
        <v>192</v>
      </c>
      <c r="L45" s="1291"/>
      <c r="M45" s="1289"/>
      <c r="N45" s="1289"/>
      <c r="S45" s="868">
        <v>9278</v>
      </c>
    </row>
    <row r="46" spans="2:19" s="857" customFormat="1" ht="6.95" hidden="1" customHeight="1">
      <c r="B46" s="861"/>
      <c r="C46" s="861"/>
      <c r="D46" s="861"/>
      <c r="E46" s="861"/>
      <c r="F46" s="872"/>
      <c r="G46" s="1278"/>
      <c r="H46" s="1126"/>
      <c r="I46" s="1168"/>
      <c r="J46" s="1235"/>
      <c r="K46" s="1213"/>
      <c r="L46" s="858"/>
      <c r="M46" s="1235"/>
      <c r="N46" s="1235"/>
    </row>
    <row r="47" spans="2:19" s="868" customFormat="1" ht="21" customHeight="1">
      <c r="B47" s="1072" t="s">
        <v>1670</v>
      </c>
      <c r="C47" s="870"/>
      <c r="D47" s="870"/>
      <c r="E47" s="870"/>
      <c r="F47" s="1292" t="s">
        <v>821</v>
      </c>
      <c r="G47" s="1293" t="e">
        <f>+G45+G37+G26</f>
        <v>#REF!</v>
      </c>
      <c r="H47" s="1101"/>
      <c r="I47" s="1294">
        <f>+I45+I37+I26</f>
        <v>457527</v>
      </c>
      <c r="J47" s="1295"/>
      <c r="K47" s="1291"/>
      <c r="L47" s="1291"/>
      <c r="M47" s="1295"/>
      <c r="N47" s="1295"/>
      <c r="R47" s="868">
        <v>1089</v>
      </c>
      <c r="S47" s="868">
        <v>344</v>
      </c>
    </row>
    <row r="48" spans="2:19">
      <c r="G48" s="1260"/>
      <c r="H48" s="863"/>
      <c r="I48" s="1261"/>
      <c r="J48" s="1168"/>
      <c r="L48" s="862"/>
      <c r="O48" s="857"/>
      <c r="P48" s="857"/>
      <c r="Q48" s="857"/>
      <c r="R48" s="857">
        <v>1058</v>
      </c>
      <c r="S48" s="861">
        <v>1667</v>
      </c>
    </row>
    <row r="49" spans="1:19">
      <c r="A49" s="882" t="s">
        <v>1477</v>
      </c>
      <c r="B49" s="1233" t="s">
        <v>1478</v>
      </c>
      <c r="H49" s="863"/>
      <c r="J49" s="2958" t="str">
        <f>+B44</f>
        <v>Accrued expenses and other liabilities</v>
      </c>
      <c r="K49" s="2959"/>
      <c r="L49" s="2959"/>
      <c r="M49" s="2960"/>
      <c r="O49" s="857"/>
      <c r="P49" s="857"/>
      <c r="Q49" s="857"/>
      <c r="R49" s="857">
        <v>419</v>
      </c>
      <c r="S49" s="861">
        <v>419</v>
      </c>
    </row>
    <row r="50" spans="1:19" ht="8.25" customHeight="1">
      <c r="B50" s="1233"/>
      <c r="H50" s="863"/>
      <c r="J50" s="1296"/>
      <c r="K50" s="1297"/>
      <c r="L50" s="1297"/>
      <c r="M50" s="1298"/>
      <c r="O50" s="857"/>
      <c r="P50" s="857"/>
      <c r="Q50" s="857"/>
      <c r="R50" s="857">
        <v>81</v>
      </c>
      <c r="S50" s="861">
        <v>795</v>
      </c>
    </row>
    <row r="51" spans="1:19">
      <c r="B51" s="861" t="s">
        <v>758</v>
      </c>
      <c r="G51" s="1278">
        <f>'UHF-NEW (2)'!F35</f>
        <v>-80003</v>
      </c>
      <c r="H51" s="1126"/>
      <c r="I51" s="1168">
        <v>0</v>
      </c>
      <c r="J51" s="1299"/>
      <c r="K51" s="1300"/>
      <c r="L51" s="1301" t="s">
        <v>798</v>
      </c>
      <c r="M51" s="1302">
        <f>BS!H27</f>
        <v>32215</v>
      </c>
      <c r="N51" s="1125"/>
      <c r="O51" s="861">
        <f>P51-G51</f>
        <v>77462</v>
      </c>
      <c r="P51" s="1007">
        <v>-2541</v>
      </c>
      <c r="R51" s="861">
        <v>61</v>
      </c>
      <c r="S51" s="861">
        <v>402</v>
      </c>
    </row>
    <row r="52" spans="1:19">
      <c r="B52" s="861" t="s">
        <v>822</v>
      </c>
      <c r="G52" s="1278">
        <f>'UHF-NEW (2)'!H20</f>
        <v>195806</v>
      </c>
      <c r="H52" s="1126"/>
      <c r="I52" s="1168">
        <v>2239464</v>
      </c>
      <c r="J52" s="1303"/>
      <c r="K52" s="1304"/>
      <c r="L52" s="1305"/>
      <c r="M52" s="1304"/>
      <c r="N52" s="1125"/>
      <c r="R52" s="861">
        <f>SUM(R47:R51)</f>
        <v>2708</v>
      </c>
      <c r="S52" s="861">
        <f>SUM(S45:S51)</f>
        <v>12905</v>
      </c>
    </row>
    <row r="53" spans="1:19">
      <c r="B53" s="861" t="s">
        <v>823</v>
      </c>
      <c r="G53" s="1278">
        <f>'UHF-NEW'!G29</f>
        <v>-120678.09306</v>
      </c>
      <c r="H53" s="1126"/>
      <c r="I53" s="1168">
        <v>-2668314</v>
      </c>
      <c r="J53" s="1303"/>
      <c r="K53" s="1304"/>
      <c r="L53" s="1305"/>
      <c r="M53" s="1304"/>
      <c r="N53" s="1125"/>
    </row>
    <row r="54" spans="1:19" ht="3" customHeight="1">
      <c r="G54" s="1278"/>
      <c r="H54" s="1126"/>
      <c r="I54" s="1168"/>
      <c r="J54" s="1303"/>
      <c r="K54" s="1304"/>
      <c r="L54" s="1305"/>
      <c r="M54" s="1304"/>
      <c r="N54" s="1125"/>
    </row>
    <row r="55" spans="1:19" s="870" customFormat="1" ht="21" customHeight="1">
      <c r="B55" s="1072" t="s">
        <v>1851</v>
      </c>
      <c r="F55" s="1292" t="s">
        <v>824</v>
      </c>
      <c r="G55" s="1190">
        <f>SUM(G51:G53)</f>
        <v>-4875.0930599999992</v>
      </c>
      <c r="H55" s="1101"/>
      <c r="I55" s="1191">
        <f>SUM(I51:I53)</f>
        <v>-428850</v>
      </c>
      <c r="J55" s="1306"/>
      <c r="K55" s="1307"/>
      <c r="L55" s="1306" t="s">
        <v>825</v>
      </c>
      <c r="M55" s="1308">
        <f>+M61-M56-M51</f>
        <v>-8575</v>
      </c>
      <c r="N55" s="1062"/>
      <c r="S55" s="870">
        <f>S52-R52</f>
        <v>10197</v>
      </c>
    </row>
    <row r="56" spans="1:19" hidden="1">
      <c r="H56" s="863"/>
      <c r="J56" s="1303"/>
      <c r="K56" s="1304"/>
      <c r="L56" s="1305" t="s">
        <v>826</v>
      </c>
      <c r="M56" s="1309">
        <v>0</v>
      </c>
    </row>
    <row r="57" spans="1:19" ht="24" customHeight="1">
      <c r="B57" s="882" t="s">
        <v>1671</v>
      </c>
      <c r="F57" s="1310" t="s">
        <v>827</v>
      </c>
      <c r="G57" s="1260" t="e">
        <f>+G55+G47</f>
        <v>#REF!</v>
      </c>
      <c r="H57" s="863"/>
      <c r="I57" s="1261">
        <f>+I55+I47</f>
        <v>28677</v>
      </c>
      <c r="J57" s="1303"/>
      <c r="K57" s="1304"/>
      <c r="L57" s="1303"/>
      <c r="M57" s="1309"/>
    </row>
    <row r="58" spans="1:19" ht="8.25" customHeight="1">
      <c r="B58" s="882"/>
      <c r="F58" s="1310"/>
      <c r="G58" s="1278"/>
      <c r="H58" s="863"/>
      <c r="I58" s="1168"/>
      <c r="J58" s="1303"/>
      <c r="K58" s="1304"/>
      <c r="L58" s="1303"/>
      <c r="M58" s="1309"/>
    </row>
    <row r="59" spans="1:19">
      <c r="B59" s="861" t="s">
        <v>828</v>
      </c>
      <c r="G59" s="1122">
        <f>BS!H11</f>
        <v>156989</v>
      </c>
      <c r="H59" s="863"/>
      <c r="I59" s="1123">
        <v>642493</v>
      </c>
      <c r="J59" s="1303" t="s">
        <v>809</v>
      </c>
      <c r="K59" s="1311">
        <f>BS!F27</f>
        <v>23640</v>
      </c>
      <c r="L59" s="1303"/>
      <c r="M59" s="1309"/>
    </row>
    <row r="60" spans="1:19" ht="4.5" customHeight="1">
      <c r="H60" s="863"/>
      <c r="J60" s="1303"/>
      <c r="K60" s="1311"/>
      <c r="L60" s="1303"/>
      <c r="M60" s="1309"/>
    </row>
    <row r="61" spans="1:19" s="870" customFormat="1" ht="21" customHeight="1" thickBot="1">
      <c r="B61" s="1072" t="s">
        <v>829</v>
      </c>
      <c r="F61" s="1312" t="str">
        <f>'14-17'!A464</f>
        <v>15.</v>
      </c>
      <c r="G61" s="1076" t="e">
        <f>+ROUND((G59+G57),0)</f>
        <v>#REF!</v>
      </c>
      <c r="H61" s="1101"/>
      <c r="I61" s="1186">
        <f>+I59+I57</f>
        <v>671170</v>
      </c>
      <c r="J61" s="1313"/>
      <c r="K61" s="1314">
        <f>+K59</f>
        <v>23640</v>
      </c>
      <c r="L61" s="1315"/>
      <c r="M61" s="1316">
        <f>+K61</f>
        <v>23640</v>
      </c>
      <c r="N61" s="1063"/>
    </row>
    <row r="62" spans="1:19" s="857" customFormat="1" ht="9.75" customHeight="1" thickTop="1">
      <c r="B62" s="861"/>
      <c r="C62" s="861"/>
      <c r="D62" s="861"/>
      <c r="E62" s="861"/>
      <c r="F62" s="872"/>
      <c r="G62" s="1122"/>
      <c r="H62" s="861"/>
      <c r="I62" s="1168"/>
      <c r="J62" s="1235" t="str">
        <f>+J45</f>
        <v>Net impact</v>
      </c>
      <c r="K62" s="1213">
        <f>+K59-M51</f>
        <v>-8575</v>
      </c>
      <c r="L62" s="1317"/>
      <c r="M62" s="1235"/>
      <c r="N62" s="1235"/>
      <c r="O62" s="861"/>
      <c r="P62" s="861"/>
      <c r="Q62" s="861"/>
      <c r="R62" s="861"/>
    </row>
    <row r="63" spans="1:19" s="1496" customFormat="1" ht="5.25" customHeight="1">
      <c r="B63" s="1318"/>
      <c r="C63" s="1102"/>
      <c r="D63" s="1102"/>
      <c r="E63" s="1102"/>
      <c r="F63" s="1319"/>
      <c r="G63" s="1102"/>
      <c r="H63" s="1102"/>
      <c r="I63" s="1008"/>
      <c r="J63" s="854"/>
      <c r="K63" s="855"/>
      <c r="O63" s="857"/>
      <c r="P63" s="857"/>
      <c r="Q63" s="857"/>
      <c r="R63" s="857"/>
    </row>
    <row r="64" spans="1:19" s="1496" customFormat="1">
      <c r="B64" s="861" t="str">
        <f>UHF!A57</f>
        <v>The annexed notes from 1 to 19 form an integral part of these condensed interim financial statements.</v>
      </c>
      <c r="C64" s="1102"/>
      <c r="D64" s="1102"/>
      <c r="E64" s="1102"/>
      <c r="F64" s="1319"/>
      <c r="G64" s="1102"/>
      <c r="H64" s="1102"/>
      <c r="I64" s="1008"/>
      <c r="J64" s="1320" t="e">
        <f>'14-17'!L468</f>
        <v>#REF!</v>
      </c>
      <c r="K64" s="1321" t="e">
        <f>J64-G61</f>
        <v>#REF!</v>
      </c>
      <c r="O64" s="857"/>
      <c r="P64" s="857"/>
      <c r="Q64" s="857"/>
      <c r="R64" s="857"/>
    </row>
    <row r="65" spans="2:18" s="1496" customFormat="1" ht="9" customHeight="1">
      <c r="B65" s="861"/>
      <c r="C65" s="1102"/>
      <c r="D65" s="1102"/>
      <c r="E65" s="1102"/>
      <c r="F65" s="1319"/>
      <c r="G65" s="1102"/>
      <c r="H65" s="1102"/>
      <c r="I65" s="1008"/>
      <c r="K65" s="855"/>
    </row>
    <row r="66" spans="2:18" s="1496" customFormat="1">
      <c r="B66" s="1318"/>
      <c r="C66" s="1102"/>
      <c r="D66" s="1102"/>
      <c r="E66" s="1102"/>
      <c r="F66" s="1319"/>
      <c r="G66" s="1102"/>
      <c r="H66" s="1102"/>
      <c r="I66" s="1008"/>
      <c r="J66" s="854"/>
      <c r="K66" s="855" t="e">
        <f>K64/2</f>
        <v>#REF!</v>
      </c>
    </row>
    <row r="67" spans="2:18" s="1496" customFormat="1">
      <c r="B67" s="2945"/>
      <c r="C67" s="2945"/>
      <c r="D67" s="2945"/>
      <c r="E67" s="2945"/>
      <c r="F67" s="2945"/>
      <c r="G67" s="2945"/>
      <c r="H67" s="2945"/>
      <c r="I67" s="2945"/>
      <c r="J67" s="1495"/>
      <c r="K67" s="855"/>
    </row>
    <row r="68" spans="2:18" s="857" customFormat="1">
      <c r="B68" s="2945"/>
      <c r="C68" s="2945"/>
      <c r="D68" s="2945"/>
      <c r="E68" s="2945"/>
      <c r="F68" s="2945"/>
      <c r="G68" s="2945"/>
      <c r="H68" s="2945"/>
      <c r="I68" s="2945"/>
      <c r="J68" s="1495"/>
      <c r="K68" s="1498"/>
      <c r="O68" s="1496"/>
      <c r="P68" s="1496"/>
      <c r="Q68" s="1496"/>
      <c r="R68" s="1496"/>
    </row>
    <row r="69" spans="2:18" s="857" customFormat="1">
      <c r="B69" s="1501"/>
      <c r="C69" s="1501"/>
      <c r="D69" s="1501"/>
      <c r="E69" s="1501"/>
      <c r="F69" s="1501"/>
      <c r="G69" s="1501"/>
      <c r="H69" s="1501"/>
      <c r="I69" s="1167"/>
      <c r="J69" s="1495"/>
      <c r="K69" s="1498"/>
      <c r="O69" s="1496"/>
      <c r="P69" s="1496"/>
      <c r="Q69" s="1496"/>
      <c r="R69" s="1496"/>
    </row>
    <row r="70" spans="2:18" s="857" customFormat="1">
      <c r="B70" s="1322"/>
      <c r="C70" s="1322"/>
      <c r="D70" s="1322"/>
      <c r="E70" s="1322"/>
      <c r="F70" s="1323"/>
      <c r="G70" s="1322"/>
      <c r="H70" s="1322"/>
      <c r="I70" s="1324"/>
      <c r="J70" s="1325"/>
      <c r="K70" s="1498"/>
    </row>
    <row r="71" spans="2:18" s="857" customFormat="1" ht="12.75" customHeight="1">
      <c r="B71" s="2946"/>
      <c r="C71" s="2946"/>
      <c r="D71" s="2946"/>
      <c r="E71" s="2946"/>
      <c r="F71" s="2946"/>
      <c r="G71" s="2946"/>
      <c r="H71" s="2946"/>
      <c r="I71" s="2946"/>
      <c r="J71" s="1325"/>
      <c r="K71" s="1498"/>
    </row>
    <row r="72" spans="2:18" s="857" customFormat="1">
      <c r="B72" s="861"/>
      <c r="C72" s="861"/>
      <c r="D72" s="861"/>
      <c r="E72" s="861"/>
      <c r="F72" s="872"/>
      <c r="J72" s="1238"/>
      <c r="K72" s="858"/>
      <c r="L72" s="1238"/>
      <c r="M72" s="1238"/>
      <c r="N72" s="1238"/>
    </row>
    <row r="73" spans="2:18" s="857" customFormat="1">
      <c r="B73" s="861"/>
      <c r="C73" s="861"/>
      <c r="D73" s="861"/>
      <c r="E73" s="861"/>
      <c r="F73" s="872"/>
      <c r="G73" s="1326" t="e">
        <f>G76-G61</f>
        <v>#REF!</v>
      </c>
      <c r="H73" s="1327"/>
      <c r="I73" s="1328">
        <f>I76-I61</f>
        <v>0</v>
      </c>
      <c r="J73" s="1238"/>
      <c r="K73" s="858"/>
      <c r="L73" s="1238"/>
      <c r="M73" s="1238"/>
      <c r="N73" s="1238"/>
    </row>
    <row r="74" spans="2:18" s="857" customFormat="1">
      <c r="B74" s="861"/>
      <c r="C74" s="861"/>
      <c r="D74" s="861"/>
      <c r="E74" s="861"/>
      <c r="F74" s="872"/>
      <c r="G74" s="1122"/>
      <c r="H74" s="861"/>
      <c r="I74" s="1123"/>
      <c r="J74" s="1238"/>
      <c r="K74" s="858"/>
      <c r="L74" s="1238"/>
      <c r="M74" s="1238"/>
      <c r="N74" s="1238"/>
    </row>
    <row r="75" spans="2:18" s="857" customFormat="1">
      <c r="B75" s="861"/>
      <c r="C75" s="861"/>
      <c r="D75" s="861"/>
      <c r="E75" s="861"/>
      <c r="F75" s="872"/>
      <c r="G75" s="1122"/>
      <c r="H75" s="861"/>
      <c r="I75" s="1123"/>
      <c r="J75" s="1238"/>
      <c r="K75" s="858"/>
      <c r="L75" s="1238"/>
      <c r="M75" s="1238"/>
      <c r="N75" s="1238"/>
    </row>
    <row r="76" spans="2:18" s="857" customFormat="1">
      <c r="B76" s="861"/>
      <c r="C76" s="861"/>
      <c r="D76" s="861"/>
      <c r="E76" s="861"/>
      <c r="F76" s="872"/>
      <c r="G76" s="1327">
        <f>+'1-4.1'!D553+'1-4.1'!D570</f>
        <v>0</v>
      </c>
      <c r="H76" s="1329"/>
      <c r="I76" s="1327">
        <f>646442+24728</f>
        <v>671170</v>
      </c>
      <c r="J76" s="1238"/>
      <c r="K76" s="858"/>
      <c r="L76" s="1238"/>
      <c r="M76" s="1238"/>
      <c r="N76" s="1238"/>
    </row>
    <row r="77" spans="2:18" s="857" customFormat="1">
      <c r="B77" s="861"/>
      <c r="C77" s="861"/>
      <c r="D77" s="861"/>
      <c r="E77" s="861"/>
      <c r="F77" s="872" t="s">
        <v>1455</v>
      </c>
      <c r="G77" s="1122"/>
      <c r="H77" s="861"/>
      <c r="I77" s="1123"/>
      <c r="J77" s="1238"/>
      <c r="K77" s="858"/>
      <c r="L77" s="1238"/>
      <c r="M77" s="1238"/>
      <c r="N77" s="1238"/>
    </row>
    <row r="78" spans="2:18" s="857" customFormat="1">
      <c r="B78" s="861"/>
      <c r="C78" s="861"/>
      <c r="D78" s="861"/>
      <c r="E78" s="861"/>
      <c r="F78" s="872"/>
      <c r="G78" s="1122"/>
      <c r="H78" s="861"/>
      <c r="I78" s="1123"/>
      <c r="J78" s="1238"/>
      <c r="K78" s="858"/>
      <c r="L78" s="1238"/>
      <c r="M78" s="1238"/>
      <c r="N78" s="1238"/>
    </row>
    <row r="79" spans="2:18">
      <c r="O79" s="857"/>
      <c r="P79" s="857"/>
      <c r="Q79" s="857"/>
      <c r="R79" s="857"/>
    </row>
    <row r="80" spans="2:18">
      <c r="O80" s="857"/>
      <c r="P80" s="857"/>
      <c r="Q80" s="857"/>
      <c r="R80" s="857"/>
    </row>
    <row r="81" spans="7:18">
      <c r="G81" s="1330"/>
    </row>
    <row r="82" spans="7:18">
      <c r="G82" s="1330"/>
    </row>
    <row r="83" spans="7:18">
      <c r="G83" s="1330"/>
    </row>
    <row r="84" spans="7:18">
      <c r="G84" s="1330"/>
    </row>
    <row r="85" spans="7:18">
      <c r="G85" s="1330"/>
    </row>
    <row r="86" spans="7:18">
      <c r="G86" s="1330"/>
    </row>
    <row r="87" spans="7:18">
      <c r="G87" s="1330"/>
    </row>
    <row r="88" spans="7:18">
      <c r="G88" s="1330"/>
    </row>
    <row r="89" spans="7:18">
      <c r="G89" s="1330"/>
    </row>
    <row r="91" spans="7:18">
      <c r="O91" s="1123"/>
    </row>
    <row r="92" spans="7:18">
      <c r="L92" s="1331"/>
      <c r="M92" s="1331"/>
      <c r="N92" s="1331"/>
    </row>
    <row r="94" spans="7:18">
      <c r="O94" s="1331"/>
      <c r="P94" s="1331"/>
      <c r="Q94" s="1331"/>
      <c r="R94" s="1331"/>
    </row>
    <row r="96" spans="7:18">
      <c r="L96" s="2947"/>
      <c r="M96" s="2947"/>
      <c r="N96" s="1331"/>
    </row>
    <row r="97" spans="12:15">
      <c r="L97" s="2947"/>
      <c r="M97" s="2947"/>
      <c r="N97" s="1331"/>
    </row>
    <row r="98" spans="12:15">
      <c r="L98" s="1332"/>
      <c r="M98" s="1332"/>
      <c r="N98" s="1332"/>
      <c r="O98" s="1331"/>
    </row>
    <row r="99" spans="12:15">
      <c r="O99" s="1331"/>
    </row>
    <row r="100" spans="12:15">
      <c r="O100" s="1332"/>
    </row>
  </sheetData>
  <mergeCells count="16">
    <mergeCell ref="B67:I67"/>
    <mergeCell ref="B68:I68"/>
    <mergeCell ref="B71:I71"/>
    <mergeCell ref="L96:M97"/>
    <mergeCell ref="AP2:AS2"/>
    <mergeCell ref="G8:I8"/>
    <mergeCell ref="V19:Y19"/>
    <mergeCell ref="J24:M24"/>
    <mergeCell ref="J37:M37"/>
    <mergeCell ref="J49:M49"/>
    <mergeCell ref="J2:M2"/>
    <mergeCell ref="O2:R2"/>
    <mergeCell ref="V2:Y2"/>
    <mergeCell ref="AA2:AD2"/>
    <mergeCell ref="AF2:AI2"/>
    <mergeCell ref="AK2:AN2"/>
  </mergeCells>
  <pageMargins left="0.75" right="0.39" top="0.55000000000000004" bottom="0.12" header="0.4" footer="0.17"/>
  <pageSetup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P1861"/>
  <sheetViews>
    <sheetView view="pageBreakPreview" topLeftCell="A938" zoomScaleNormal="100" zoomScaleSheetLayoutView="100" workbookViewId="0">
      <selection activeCell="B509" sqref="B509"/>
    </sheetView>
  </sheetViews>
  <sheetFormatPr defaultColWidth="9" defaultRowHeight="12" zeroHeight="1"/>
  <cols>
    <col min="1" max="1" width="5.125" style="1727" customWidth="1"/>
    <col min="2" max="2" width="2.375" style="1727" customWidth="1"/>
    <col min="3" max="3" width="32.875" style="1727" customWidth="1"/>
    <col min="4" max="4" width="8.375" style="1727" customWidth="1"/>
    <col min="5" max="5" width="7.25" style="1727" customWidth="1"/>
    <col min="6" max="6" width="8" style="1727" customWidth="1"/>
    <col min="7" max="7" width="10.375" style="1727" customWidth="1"/>
    <col min="8" max="8" width="2.75" style="1727" customWidth="1"/>
    <col min="9" max="9" width="13.5" style="1727" customWidth="1"/>
    <col min="10" max="10" width="9" style="1727" customWidth="1"/>
    <col min="11" max="11" width="15" style="1727" bestFit="1" customWidth="1"/>
    <col min="12" max="12" width="12.125" style="1727" customWidth="1"/>
    <col min="13" max="13" width="9" style="1727" customWidth="1"/>
    <col min="14" max="16384" width="9" style="1727"/>
  </cols>
  <sheetData>
    <row r="1" spans="1:13">
      <c r="A1" s="1681" t="s">
        <v>671</v>
      </c>
      <c r="B1" s="1694"/>
      <c r="C1" s="1694"/>
      <c r="D1" s="1692"/>
      <c r="E1" s="1692"/>
      <c r="F1" s="1692"/>
      <c r="G1" s="1692"/>
      <c r="H1" s="1692"/>
      <c r="I1" s="1692"/>
    </row>
    <row r="2" spans="1:13">
      <c r="A2" s="1681" t="s">
        <v>2127</v>
      </c>
      <c r="B2" s="1694"/>
      <c r="C2" s="1694"/>
      <c r="D2" s="1692"/>
      <c r="E2" s="1692"/>
      <c r="F2" s="1692"/>
      <c r="G2" s="1692"/>
      <c r="H2" s="1692"/>
      <c r="I2" s="1692"/>
    </row>
    <row r="3" spans="1:13">
      <c r="A3" s="1681" t="s">
        <v>2459</v>
      </c>
      <c r="B3" s="1694"/>
      <c r="C3" s="1694"/>
      <c r="D3" s="1692"/>
      <c r="E3" s="1692"/>
      <c r="F3" s="1692"/>
      <c r="G3" s="1692"/>
      <c r="H3" s="1692"/>
      <c r="I3" s="1692"/>
    </row>
    <row r="4" spans="1:13">
      <c r="A4" s="1681"/>
      <c r="B4" s="1694"/>
      <c r="C4" s="1694"/>
      <c r="D4" s="1692"/>
      <c r="E4" s="1692"/>
      <c r="F4" s="1692"/>
      <c r="G4" s="1692"/>
      <c r="H4" s="1692"/>
      <c r="I4" s="1692"/>
    </row>
    <row r="5" spans="1:13">
      <c r="A5" s="1681"/>
      <c r="B5" s="1694"/>
      <c r="C5" s="1694"/>
      <c r="D5" s="1692"/>
      <c r="E5" s="1692"/>
      <c r="F5" s="1692"/>
      <c r="G5" s="1692"/>
      <c r="H5" s="1692"/>
      <c r="I5" s="1692"/>
    </row>
    <row r="6" spans="1:13">
      <c r="A6" s="1649" t="s">
        <v>1855</v>
      </c>
      <c r="B6" s="1694" t="s">
        <v>831</v>
      </c>
      <c r="C6" s="1694"/>
      <c r="D6" s="1692"/>
      <c r="E6" s="1692"/>
      <c r="F6" s="1692"/>
      <c r="G6" s="1692"/>
      <c r="H6" s="1692"/>
      <c r="I6" s="1692"/>
    </row>
    <row r="7" spans="1:13">
      <c r="A7" s="1681"/>
      <c r="B7" s="1692"/>
      <c r="C7" s="1692"/>
      <c r="D7" s="1692"/>
      <c r="E7" s="1692"/>
      <c r="F7" s="1692"/>
      <c r="G7" s="1692"/>
      <c r="H7" s="1692"/>
      <c r="I7" s="1692"/>
    </row>
    <row r="8" spans="1:13">
      <c r="A8" s="1649" t="s">
        <v>832</v>
      </c>
      <c r="B8" s="2966" t="s">
        <v>2178</v>
      </c>
      <c r="C8" s="2966"/>
      <c r="D8" s="2966"/>
      <c r="E8" s="2966"/>
      <c r="F8" s="2966"/>
      <c r="G8" s="2966"/>
      <c r="H8" s="2966"/>
      <c r="I8" s="2966"/>
    </row>
    <row r="9" spans="1:13">
      <c r="A9" s="1681"/>
      <c r="B9" s="2966"/>
      <c r="C9" s="2966"/>
      <c r="D9" s="2966"/>
      <c r="E9" s="2966"/>
      <c r="F9" s="2966"/>
      <c r="G9" s="2966"/>
      <c r="H9" s="2966"/>
      <c r="I9" s="2966"/>
    </row>
    <row r="10" spans="1:13">
      <c r="A10" s="1681"/>
      <c r="B10" s="2966"/>
      <c r="C10" s="2966"/>
      <c r="D10" s="2966"/>
      <c r="E10" s="2966"/>
      <c r="F10" s="2966"/>
      <c r="G10" s="2966"/>
      <c r="H10" s="2966"/>
      <c r="I10" s="2966"/>
    </row>
    <row r="11" spans="1:13">
      <c r="A11" s="1681"/>
      <c r="B11" s="2966"/>
      <c r="C11" s="2966"/>
      <c r="D11" s="2966"/>
      <c r="E11" s="2966"/>
      <c r="F11" s="2966"/>
      <c r="G11" s="2966"/>
      <c r="H11" s="2966"/>
      <c r="I11" s="2966"/>
    </row>
    <row r="12" spans="1:13">
      <c r="A12" s="1681"/>
      <c r="B12" s="2966"/>
      <c r="C12" s="2966"/>
      <c r="D12" s="2966"/>
      <c r="E12" s="2966"/>
      <c r="F12" s="2966"/>
      <c r="G12" s="2966"/>
      <c r="H12" s="2966"/>
      <c r="I12" s="2966"/>
    </row>
    <row r="13" spans="1:13">
      <c r="A13" s="1681"/>
      <c r="B13" s="2966"/>
      <c r="C13" s="2966"/>
      <c r="D13" s="2966"/>
      <c r="E13" s="2966"/>
      <c r="F13" s="2966"/>
      <c r="G13" s="2966"/>
      <c r="H13" s="2966"/>
      <c r="I13" s="2966"/>
    </row>
    <row r="14" spans="1:13">
      <c r="A14" s="1681"/>
      <c r="B14" s="2284"/>
      <c r="C14" s="2284"/>
      <c r="D14" s="2284"/>
      <c r="E14" s="2284"/>
      <c r="F14" s="2284"/>
      <c r="G14" s="2284"/>
      <c r="H14" s="2284"/>
      <c r="I14" s="2284"/>
    </row>
    <row r="15" spans="1:13">
      <c r="A15" s="1649" t="s">
        <v>833</v>
      </c>
      <c r="B15" s="2967" t="s">
        <v>2280</v>
      </c>
      <c r="C15" s="2967"/>
      <c r="D15" s="2967"/>
      <c r="E15" s="2967"/>
      <c r="F15" s="2967"/>
      <c r="G15" s="2967"/>
      <c r="H15" s="2967"/>
      <c r="I15" s="2967"/>
      <c r="J15" s="2966"/>
      <c r="K15" s="2966"/>
      <c r="L15" s="2966"/>
      <c r="M15" s="2966"/>
    </row>
    <row r="16" spans="1:13">
      <c r="A16" s="1681"/>
      <c r="B16" s="2967"/>
      <c r="C16" s="2967"/>
      <c r="D16" s="2967"/>
      <c r="E16" s="2967"/>
      <c r="F16" s="2967"/>
      <c r="G16" s="2967"/>
      <c r="H16" s="2967"/>
      <c r="I16" s="2967"/>
      <c r="J16" s="2966"/>
      <c r="K16" s="2966"/>
      <c r="L16" s="2966"/>
      <c r="M16" s="2966"/>
    </row>
    <row r="17" spans="1:13">
      <c r="A17" s="1681"/>
      <c r="B17" s="2967"/>
      <c r="C17" s="2967"/>
      <c r="D17" s="2967"/>
      <c r="E17" s="2967"/>
      <c r="F17" s="2967"/>
      <c r="G17" s="2967"/>
      <c r="H17" s="2967"/>
      <c r="I17" s="2967"/>
      <c r="J17" s="2966"/>
      <c r="K17" s="2966"/>
      <c r="L17" s="2966"/>
      <c r="M17" s="2966"/>
    </row>
    <row r="18" spans="1:13">
      <c r="A18" s="1681"/>
      <c r="B18" s="2967"/>
      <c r="C18" s="2967"/>
      <c r="D18" s="2967"/>
      <c r="E18" s="2967"/>
      <c r="F18" s="2967"/>
      <c r="G18" s="2967"/>
      <c r="H18" s="2967"/>
      <c r="I18" s="2967"/>
      <c r="J18" s="2966"/>
      <c r="K18" s="2966"/>
      <c r="L18" s="2966"/>
      <c r="M18" s="2966"/>
    </row>
    <row r="19" spans="1:13">
      <c r="A19" s="1681"/>
      <c r="B19" s="2284"/>
      <c r="C19" s="2284"/>
      <c r="D19" s="2284"/>
      <c r="E19" s="2284"/>
      <c r="F19" s="2284"/>
      <c r="G19" s="2284"/>
      <c r="H19" s="2284"/>
      <c r="I19" s="2284"/>
      <c r="J19" s="2966"/>
      <c r="K19" s="2966"/>
      <c r="L19" s="2966"/>
      <c r="M19" s="2966"/>
    </row>
    <row r="20" spans="1:13">
      <c r="A20" s="1649" t="s">
        <v>834</v>
      </c>
      <c r="B20" s="2986" t="s">
        <v>2136</v>
      </c>
      <c r="C20" s="2986"/>
      <c r="D20" s="2986"/>
      <c r="E20" s="2986"/>
      <c r="F20" s="2986"/>
      <c r="G20" s="2986"/>
      <c r="H20" s="2986"/>
      <c r="I20" s="2986"/>
    </row>
    <row r="21" spans="1:13">
      <c r="A21" s="1649"/>
      <c r="B21" s="2986"/>
      <c r="C21" s="2986"/>
      <c r="D21" s="2986"/>
      <c r="E21" s="2986"/>
      <c r="F21" s="2986"/>
      <c r="G21" s="2986"/>
      <c r="H21" s="2986"/>
      <c r="I21" s="2986"/>
    </row>
    <row r="22" spans="1:13">
      <c r="A22" s="1649"/>
      <c r="B22" s="2986"/>
      <c r="C22" s="2986"/>
      <c r="D22" s="2986"/>
      <c r="E22" s="2986"/>
      <c r="F22" s="2986"/>
      <c r="G22" s="2986"/>
      <c r="H22" s="2986"/>
      <c r="I22" s="2986"/>
    </row>
    <row r="23" spans="1:13">
      <c r="A23" s="1649"/>
      <c r="B23" s="2986"/>
      <c r="C23" s="2986"/>
      <c r="D23" s="2986"/>
      <c r="E23" s="2986"/>
      <c r="F23" s="2986"/>
      <c r="G23" s="2986"/>
      <c r="H23" s="2986"/>
      <c r="I23" s="2986"/>
    </row>
    <row r="24" spans="1:13">
      <c r="A24" s="1649"/>
      <c r="B24" s="2986"/>
      <c r="C24" s="2986"/>
      <c r="D24" s="2986"/>
      <c r="E24" s="2986"/>
      <c r="F24" s="2986"/>
      <c r="G24" s="2986"/>
      <c r="H24" s="2986"/>
      <c r="I24" s="2986"/>
    </row>
    <row r="25" spans="1:13">
      <c r="A25" s="1649"/>
      <c r="B25" s="2986"/>
      <c r="C25" s="2986"/>
      <c r="D25" s="2986"/>
      <c r="E25" s="2986"/>
      <c r="F25" s="2986"/>
      <c r="G25" s="2986"/>
      <c r="H25" s="2986"/>
      <c r="I25" s="2986"/>
    </row>
    <row r="26" spans="1:13">
      <c r="A26" s="1649"/>
      <c r="B26" s="2291"/>
      <c r="C26" s="2291"/>
      <c r="D26" s="2291"/>
      <c r="E26" s="2291"/>
      <c r="F26" s="2291"/>
      <c r="G26" s="2291"/>
      <c r="H26" s="2291"/>
      <c r="I26" s="2291"/>
    </row>
    <row r="27" spans="1:13">
      <c r="A27" s="1649" t="s">
        <v>835</v>
      </c>
      <c r="B27" s="2966" t="s">
        <v>2137</v>
      </c>
      <c r="C27" s="2966"/>
      <c r="D27" s="2966"/>
      <c r="E27" s="2966"/>
      <c r="F27" s="2966"/>
      <c r="G27" s="2966"/>
      <c r="H27" s="2966"/>
      <c r="I27" s="2966"/>
    </row>
    <row r="28" spans="1:13">
      <c r="A28" s="1649"/>
      <c r="B28" s="2966"/>
      <c r="C28" s="2966"/>
      <c r="D28" s="2966"/>
      <c r="E28" s="2966"/>
      <c r="F28" s="2966"/>
      <c r="G28" s="2966"/>
      <c r="H28" s="2966"/>
      <c r="I28" s="2966"/>
    </row>
    <row r="29" spans="1:13">
      <c r="A29" s="1649"/>
      <c r="B29" s="2966"/>
      <c r="C29" s="2966"/>
      <c r="D29" s="2966"/>
      <c r="E29" s="2966"/>
      <c r="F29" s="2966"/>
      <c r="G29" s="2966"/>
      <c r="H29" s="2966"/>
      <c r="I29" s="2966"/>
    </row>
    <row r="30" spans="1:13">
      <c r="A30" s="1681"/>
      <c r="B30" s="2284"/>
      <c r="C30" s="2284"/>
      <c r="D30" s="2284"/>
      <c r="E30" s="2284"/>
      <c r="F30" s="2284"/>
      <c r="G30" s="2284"/>
      <c r="H30" s="2284"/>
      <c r="I30" s="2284"/>
    </row>
    <row r="31" spans="1:13">
      <c r="A31" s="1649" t="s">
        <v>836</v>
      </c>
      <c r="B31" s="2966" t="s">
        <v>2546</v>
      </c>
      <c r="C31" s="2966"/>
      <c r="D31" s="2966"/>
      <c r="E31" s="2966"/>
      <c r="F31" s="2966"/>
      <c r="G31" s="2966"/>
      <c r="H31" s="2966"/>
      <c r="I31" s="2966"/>
    </row>
    <row r="32" spans="1:13">
      <c r="A32" s="1649"/>
      <c r="B32" s="2966"/>
      <c r="C32" s="2966"/>
      <c r="D32" s="2966"/>
      <c r="E32" s="2966"/>
      <c r="F32" s="2966"/>
      <c r="G32" s="2966"/>
      <c r="H32" s="2966"/>
      <c r="I32" s="2966"/>
    </row>
    <row r="33" spans="1:12">
      <c r="A33" s="1681"/>
      <c r="B33" s="2284"/>
      <c r="C33" s="2284"/>
      <c r="D33" s="2284"/>
      <c r="E33" s="2284"/>
      <c r="F33" s="2284"/>
      <c r="G33" s="2284"/>
      <c r="H33" s="2284"/>
      <c r="I33" s="2284"/>
    </row>
    <row r="34" spans="1:12">
      <c r="A34" s="1649" t="s">
        <v>837</v>
      </c>
      <c r="B34" s="2966" t="s">
        <v>2138</v>
      </c>
      <c r="C34" s="2966"/>
      <c r="D34" s="2966"/>
      <c r="E34" s="2966"/>
      <c r="F34" s="2966"/>
      <c r="G34" s="2966"/>
      <c r="H34" s="2966"/>
      <c r="I34" s="2966"/>
    </row>
    <row r="35" spans="1:12">
      <c r="A35" s="1649"/>
      <c r="B35" s="2966"/>
      <c r="C35" s="2966"/>
      <c r="D35" s="2966"/>
      <c r="E35" s="2966"/>
      <c r="F35" s="2966"/>
      <c r="G35" s="2966"/>
      <c r="H35" s="2966"/>
      <c r="I35" s="2966"/>
    </row>
    <row r="36" spans="1:12">
      <c r="A36" s="1783">
        <v>2</v>
      </c>
      <c r="B36" s="1694" t="s">
        <v>2101</v>
      </c>
      <c r="C36" s="2284"/>
      <c r="D36" s="2284"/>
      <c r="E36" s="2284"/>
      <c r="F36" s="2284"/>
      <c r="G36" s="2284"/>
      <c r="H36" s="2284"/>
      <c r="I36" s="2284"/>
    </row>
    <row r="37" spans="1:12">
      <c r="A37" s="1649"/>
      <c r="B37" s="2284"/>
      <c r="C37" s="2284"/>
      <c r="D37" s="2284"/>
      <c r="E37" s="2284"/>
      <c r="F37" s="2284"/>
      <c r="G37" s="2284"/>
      <c r="H37" s="2284"/>
      <c r="I37" s="2284"/>
    </row>
    <row r="38" spans="1:12">
      <c r="A38" s="1649" t="s">
        <v>2102</v>
      </c>
      <c r="B38" s="1794" t="s">
        <v>2111</v>
      </c>
      <c r="C38" s="1692"/>
      <c r="D38" s="1692"/>
      <c r="E38" s="1692"/>
      <c r="F38" s="1692"/>
      <c r="G38" s="1692"/>
      <c r="H38" s="1692"/>
      <c r="I38" s="1692"/>
      <c r="J38" s="2268"/>
      <c r="K38" s="2268"/>
      <c r="L38" s="2268"/>
    </row>
    <row r="39" spans="1:12">
      <c r="A39" s="1649"/>
      <c r="B39" s="1794"/>
      <c r="C39" s="1692"/>
      <c r="D39" s="1692"/>
      <c r="E39" s="1692"/>
      <c r="F39" s="1692"/>
      <c r="G39" s="1692"/>
      <c r="H39" s="1692"/>
      <c r="I39" s="1692"/>
      <c r="J39" s="2268"/>
      <c r="K39" s="2268"/>
      <c r="L39" s="2268"/>
    </row>
    <row r="40" spans="1:12">
      <c r="A40" s="1649" t="s">
        <v>2233</v>
      </c>
      <c r="B40" s="2968" t="s">
        <v>2139</v>
      </c>
      <c r="C40" s="2968"/>
      <c r="D40" s="2968"/>
      <c r="E40" s="2968"/>
      <c r="F40" s="2968"/>
      <c r="G40" s="2968"/>
      <c r="H40" s="2968"/>
      <c r="I40" s="2968"/>
      <c r="J40" s="2268"/>
      <c r="K40" s="2268"/>
      <c r="L40" s="2268"/>
    </row>
    <row r="41" spans="1:12" s="1730" customFormat="1">
      <c r="A41" s="1681"/>
      <c r="B41" s="2968"/>
      <c r="C41" s="2968"/>
      <c r="D41" s="2968"/>
      <c r="E41" s="2968"/>
      <c r="F41" s="2968"/>
      <c r="G41" s="2968"/>
      <c r="H41" s="2968"/>
      <c r="I41" s="2968"/>
      <c r="J41" s="1548"/>
      <c r="K41" s="1548"/>
      <c r="L41" s="1548"/>
    </row>
    <row r="42" spans="1:12">
      <c r="A42" s="1681"/>
      <c r="B42" s="2968"/>
      <c r="C42" s="2968"/>
      <c r="D42" s="2968"/>
      <c r="E42" s="2968"/>
      <c r="F42" s="2968"/>
      <c r="G42" s="2968"/>
      <c r="H42" s="2968"/>
      <c r="I42" s="2968"/>
      <c r="J42" s="2268"/>
      <c r="K42" s="2268"/>
      <c r="L42" s="2268"/>
    </row>
    <row r="43" spans="1:12">
      <c r="A43" s="1681"/>
      <c r="B43" s="2268"/>
      <c r="C43" s="2268"/>
      <c r="D43" s="2268"/>
      <c r="E43" s="2268"/>
      <c r="F43" s="2268"/>
      <c r="G43" s="2268"/>
      <c r="H43" s="2268"/>
      <c r="I43" s="2268"/>
      <c r="J43" s="2268"/>
      <c r="K43" s="2268"/>
      <c r="L43" s="2268"/>
    </row>
    <row r="44" spans="1:12">
      <c r="A44" s="1681"/>
      <c r="B44" s="1543" t="s">
        <v>1984</v>
      </c>
      <c r="C44" s="2969" t="s">
        <v>2243</v>
      </c>
      <c r="D44" s="2969"/>
      <c r="E44" s="2969"/>
      <c r="F44" s="2969"/>
      <c r="G44" s="2969"/>
      <c r="H44" s="2969"/>
      <c r="I44" s="2969"/>
      <c r="J44" s="2268"/>
      <c r="K44" s="2268"/>
      <c r="L44" s="2268"/>
    </row>
    <row r="45" spans="1:12">
      <c r="A45" s="1681"/>
      <c r="B45" s="1543"/>
      <c r="C45" s="2969"/>
      <c r="D45" s="2969"/>
      <c r="E45" s="2969"/>
      <c r="F45" s="2969"/>
      <c r="G45" s="2969"/>
      <c r="H45" s="2969"/>
      <c r="I45" s="2969"/>
      <c r="J45" s="2268"/>
      <c r="K45" s="2268"/>
      <c r="L45" s="2268"/>
    </row>
    <row r="46" spans="1:12">
      <c r="A46" s="1681"/>
      <c r="B46" s="1543"/>
      <c r="C46" s="1804"/>
      <c r="D46" s="1804"/>
      <c r="E46" s="1804"/>
      <c r="F46" s="1804"/>
      <c r="G46" s="1804"/>
      <c r="H46" s="1804"/>
      <c r="I46" s="1804"/>
      <c r="J46" s="2268"/>
      <c r="K46" s="2268"/>
      <c r="L46" s="2268"/>
    </row>
    <row r="47" spans="1:12">
      <c r="A47" s="1681"/>
      <c r="B47" s="1543" t="s">
        <v>843</v>
      </c>
      <c r="C47" s="2969" t="s">
        <v>2140</v>
      </c>
      <c r="D47" s="2969"/>
      <c r="E47" s="2969"/>
      <c r="F47" s="2969"/>
      <c r="G47" s="2969"/>
      <c r="H47" s="2969"/>
      <c r="I47" s="2969"/>
      <c r="J47" s="2268"/>
      <c r="K47" s="2268"/>
      <c r="L47" s="2268"/>
    </row>
    <row r="48" spans="1:12">
      <c r="A48" s="1681"/>
      <c r="B48" s="1543"/>
      <c r="C48" s="2969"/>
      <c r="D48" s="2969"/>
      <c r="E48" s="2969"/>
      <c r="F48" s="2969"/>
      <c r="G48" s="2969"/>
      <c r="H48" s="2969"/>
      <c r="I48" s="2969"/>
      <c r="J48" s="2268"/>
      <c r="K48" s="2268"/>
      <c r="L48" s="2268"/>
    </row>
    <row r="49" spans="1:12">
      <c r="A49" s="1681"/>
      <c r="B49" s="1543"/>
      <c r="C49" s="1804"/>
      <c r="D49" s="1804"/>
      <c r="E49" s="1804"/>
      <c r="F49" s="1804"/>
      <c r="G49" s="1804"/>
      <c r="H49" s="1804"/>
      <c r="I49" s="1804"/>
      <c r="J49" s="2268"/>
      <c r="K49" s="2268"/>
      <c r="L49" s="2268"/>
    </row>
    <row r="50" spans="1:12">
      <c r="A50" s="1681"/>
      <c r="B50" s="1543" t="s">
        <v>843</v>
      </c>
      <c r="C50" s="2969" t="s">
        <v>1985</v>
      </c>
      <c r="D50" s="2969"/>
      <c r="E50" s="2969"/>
      <c r="F50" s="2969"/>
      <c r="G50" s="2969"/>
      <c r="H50" s="2969"/>
      <c r="I50" s="2969"/>
      <c r="J50" s="2268"/>
      <c r="K50" s="2268"/>
      <c r="L50" s="2268"/>
    </row>
    <row r="51" spans="1:12">
      <c r="A51" s="1681"/>
      <c r="B51" s="1543"/>
      <c r="C51" s="2969"/>
      <c r="D51" s="2969"/>
      <c r="E51" s="2969"/>
      <c r="F51" s="2969"/>
      <c r="G51" s="2969"/>
      <c r="H51" s="2969"/>
      <c r="I51" s="2969"/>
      <c r="J51" s="2268"/>
      <c r="K51" s="2268"/>
      <c r="L51" s="2268"/>
    </row>
    <row r="52" spans="1:12">
      <c r="A52" s="1681"/>
      <c r="B52" s="1544"/>
      <c r="C52" s="2969"/>
      <c r="D52" s="2969"/>
      <c r="E52" s="2969"/>
      <c r="F52" s="2969"/>
      <c r="G52" s="2969"/>
      <c r="H52" s="2969"/>
      <c r="I52" s="2969"/>
      <c r="J52" s="2268"/>
      <c r="K52" s="2268"/>
      <c r="L52" s="2268"/>
    </row>
    <row r="53" spans="1:12">
      <c r="A53" s="1681"/>
      <c r="B53" s="1544"/>
      <c r="C53" s="1544"/>
      <c r="D53" s="1544"/>
      <c r="E53" s="1544"/>
      <c r="F53" s="1544"/>
      <c r="G53" s="1544"/>
      <c r="H53" s="1544"/>
      <c r="I53" s="1544"/>
      <c r="J53" s="2268"/>
      <c r="K53" s="2268"/>
      <c r="L53" s="2268"/>
    </row>
    <row r="54" spans="1:12">
      <c r="A54" s="1681"/>
      <c r="B54" s="2969" t="s">
        <v>2141</v>
      </c>
      <c r="C54" s="2969"/>
      <c r="D54" s="2969"/>
      <c r="E54" s="2969"/>
      <c r="F54" s="2969"/>
      <c r="G54" s="2969"/>
      <c r="H54" s="2969"/>
      <c r="I54" s="2969"/>
      <c r="J54" s="2268"/>
      <c r="K54" s="2268"/>
      <c r="L54" s="2268"/>
    </row>
    <row r="55" spans="1:12">
      <c r="A55" s="1681"/>
      <c r="B55" s="2969"/>
      <c r="C55" s="2969"/>
      <c r="D55" s="2969"/>
      <c r="E55" s="2969"/>
      <c r="F55" s="2969"/>
      <c r="G55" s="2969"/>
      <c r="H55" s="2969"/>
      <c r="I55" s="2969"/>
      <c r="J55" s="2268"/>
      <c r="K55" s="2268"/>
      <c r="L55" s="2268"/>
    </row>
    <row r="56" spans="1:12">
      <c r="A56" s="1681"/>
      <c r="B56" s="2969"/>
      <c r="C56" s="2969"/>
      <c r="D56" s="2969"/>
      <c r="E56" s="2969"/>
      <c r="F56" s="2969"/>
      <c r="G56" s="2969"/>
      <c r="H56" s="2969"/>
      <c r="I56" s="2969"/>
      <c r="J56" s="2268"/>
      <c r="K56" s="2268"/>
      <c r="L56" s="2268"/>
    </row>
    <row r="57" spans="1:12">
      <c r="A57" s="1681"/>
      <c r="B57" s="2969"/>
      <c r="C57" s="2969"/>
      <c r="D57" s="2969"/>
      <c r="E57" s="2969"/>
      <c r="F57" s="2969"/>
      <c r="G57" s="2969"/>
      <c r="H57" s="2969"/>
      <c r="I57" s="2969"/>
      <c r="J57" s="2268"/>
      <c r="K57" s="2268"/>
      <c r="L57" s="2268"/>
    </row>
    <row r="58" spans="1:12">
      <c r="A58" s="1681"/>
      <c r="B58" s="2969"/>
      <c r="C58" s="2969"/>
      <c r="D58" s="2969"/>
      <c r="E58" s="2969"/>
      <c r="F58" s="2969"/>
      <c r="G58" s="2969"/>
      <c r="H58" s="2969"/>
      <c r="I58" s="2969"/>
      <c r="J58" s="2268"/>
      <c r="K58" s="2268"/>
      <c r="L58" s="2268"/>
    </row>
    <row r="59" spans="1:12">
      <c r="A59" s="1681"/>
      <c r="B59" s="2284"/>
      <c r="C59" s="2284"/>
      <c r="D59" s="2284"/>
      <c r="E59" s="2284"/>
      <c r="F59" s="2284"/>
      <c r="G59" s="2284"/>
      <c r="H59" s="2284"/>
      <c r="I59" s="2284"/>
      <c r="J59" s="2268"/>
      <c r="K59" s="2268"/>
      <c r="L59" s="2268"/>
    </row>
    <row r="60" spans="1:12">
      <c r="A60" s="1649" t="s">
        <v>2234</v>
      </c>
      <c r="B60" s="2973" t="s">
        <v>2547</v>
      </c>
      <c r="C60" s="2973"/>
      <c r="D60" s="2973"/>
      <c r="E60" s="2973"/>
      <c r="F60" s="2973"/>
      <c r="G60" s="2973"/>
      <c r="H60" s="2973"/>
      <c r="I60" s="2973"/>
      <c r="J60" s="2268"/>
      <c r="K60" s="2268"/>
      <c r="L60" s="2268"/>
    </row>
    <row r="61" spans="1:12" ht="22.9" customHeight="1">
      <c r="A61" s="1681"/>
      <c r="B61" s="2973"/>
      <c r="C61" s="2973"/>
      <c r="D61" s="2973"/>
      <c r="E61" s="2973"/>
      <c r="F61" s="2973"/>
      <c r="G61" s="2973"/>
      <c r="H61" s="2973"/>
      <c r="I61" s="2973"/>
      <c r="J61" s="2268"/>
      <c r="K61" s="2268"/>
      <c r="L61" s="2268"/>
    </row>
    <row r="62" spans="1:12" ht="3.75" customHeight="1">
      <c r="A62" s="1681"/>
      <c r="B62" s="2973"/>
      <c r="C62" s="2973"/>
      <c r="D62" s="2973"/>
      <c r="E62" s="2973"/>
      <c r="F62" s="2973"/>
      <c r="G62" s="2973"/>
      <c r="H62" s="2973"/>
      <c r="I62" s="2973"/>
      <c r="J62" s="2268"/>
      <c r="K62" s="2268"/>
      <c r="L62" s="2268"/>
    </row>
    <row r="63" spans="1:12" hidden="1">
      <c r="A63" s="1681"/>
      <c r="B63" s="2973"/>
      <c r="C63" s="2973"/>
      <c r="D63" s="2973"/>
      <c r="E63" s="2973"/>
      <c r="F63" s="2973"/>
      <c r="G63" s="2973"/>
      <c r="H63" s="2973"/>
      <c r="I63" s="2973"/>
      <c r="J63" s="2268"/>
      <c r="K63" s="2268"/>
      <c r="L63" s="2268"/>
    </row>
    <row r="64" spans="1:12" hidden="1">
      <c r="A64" s="1681"/>
      <c r="B64" s="2973"/>
      <c r="C64" s="2973"/>
      <c r="D64" s="2973"/>
      <c r="E64" s="2973"/>
      <c r="F64" s="2973"/>
      <c r="G64" s="2973"/>
      <c r="H64" s="2973"/>
      <c r="I64" s="2973"/>
      <c r="J64" s="2268"/>
      <c r="K64" s="2268"/>
      <c r="L64" s="2268"/>
    </row>
    <row r="65" spans="1:12">
      <c r="A65" s="1681"/>
      <c r="B65" s="2276"/>
      <c r="C65" s="2276"/>
      <c r="D65" s="2276"/>
      <c r="E65" s="2276"/>
      <c r="F65" s="2276"/>
      <c r="G65" s="2276"/>
      <c r="H65" s="2276"/>
      <c r="I65" s="2276"/>
      <c r="J65" s="2268"/>
      <c r="K65" s="2268"/>
      <c r="L65" s="2268"/>
    </row>
    <row r="66" spans="1:12">
      <c r="A66" s="1649" t="s">
        <v>2235</v>
      </c>
      <c r="B66" s="2974" t="s">
        <v>2482</v>
      </c>
      <c r="C66" s="2973"/>
      <c r="D66" s="2973"/>
      <c r="E66" s="2973"/>
      <c r="F66" s="2973"/>
      <c r="G66" s="2973"/>
      <c r="H66" s="2973"/>
      <c r="I66" s="2973"/>
      <c r="J66" s="2268"/>
      <c r="K66" s="2268"/>
      <c r="L66" s="2268"/>
    </row>
    <row r="67" spans="1:12">
      <c r="A67" s="1681"/>
      <c r="B67" s="2973"/>
      <c r="C67" s="2973"/>
      <c r="D67" s="2973"/>
      <c r="E67" s="2973"/>
      <c r="F67" s="2973"/>
      <c r="G67" s="2973"/>
      <c r="H67" s="2973"/>
      <c r="I67" s="2973"/>
      <c r="J67" s="2268"/>
      <c r="K67" s="2268"/>
      <c r="L67" s="2268"/>
    </row>
    <row r="68" spans="1:12">
      <c r="A68" s="1681"/>
      <c r="B68" s="2973"/>
      <c r="C68" s="2973"/>
      <c r="D68" s="2973"/>
      <c r="E68" s="2973"/>
      <c r="F68" s="2973"/>
      <c r="G68" s="2973"/>
      <c r="H68" s="2973"/>
      <c r="I68" s="2973"/>
      <c r="J68" s="2268"/>
      <c r="K68" s="2268"/>
      <c r="L68" s="2268"/>
    </row>
    <row r="69" spans="1:12" ht="29.25" customHeight="1">
      <c r="A69" s="1681"/>
      <c r="B69" s="2973"/>
      <c r="C69" s="2973"/>
      <c r="D69" s="2973"/>
      <c r="E69" s="2973"/>
      <c r="F69" s="2973"/>
      <c r="G69" s="2973"/>
      <c r="H69" s="2973"/>
      <c r="I69" s="2973"/>
      <c r="J69" s="2268"/>
      <c r="K69" s="2268"/>
      <c r="L69" s="2268"/>
    </row>
    <row r="70" spans="1:12" ht="18" customHeight="1">
      <c r="A70" s="1681"/>
      <c r="B70" s="2278"/>
      <c r="C70" s="2278"/>
      <c r="D70" s="2278"/>
      <c r="E70" s="2278"/>
      <c r="F70" s="2278"/>
      <c r="G70" s="2278"/>
      <c r="H70" s="2278"/>
      <c r="I70" s="2278"/>
      <c r="J70" s="2268"/>
      <c r="K70" s="2268"/>
      <c r="L70" s="2268"/>
    </row>
    <row r="71" spans="1:12" ht="36" customHeight="1">
      <c r="A71" s="1649" t="s">
        <v>2236</v>
      </c>
      <c r="B71" s="2966" t="s">
        <v>2222</v>
      </c>
      <c r="C71" s="2973"/>
      <c r="D71" s="2973"/>
      <c r="E71" s="2973"/>
      <c r="F71" s="2973"/>
      <c r="G71" s="2973"/>
      <c r="H71" s="2973"/>
      <c r="I71" s="2973"/>
      <c r="J71" s="2268"/>
      <c r="K71" s="2268"/>
      <c r="L71" s="2268"/>
    </row>
    <row r="72" spans="1:12" ht="9.75" customHeight="1">
      <c r="A72" s="1681"/>
      <c r="B72" s="2276"/>
      <c r="C72" s="2277"/>
      <c r="D72" s="2277"/>
      <c r="E72" s="2277"/>
      <c r="F72" s="2277"/>
      <c r="G72" s="2277"/>
      <c r="H72" s="2277"/>
      <c r="I72" s="2277"/>
      <c r="J72" s="2268"/>
      <c r="K72" s="2268"/>
      <c r="L72" s="2268"/>
    </row>
    <row r="73" spans="1:12" ht="27" customHeight="1">
      <c r="A73" s="1649" t="s">
        <v>2237</v>
      </c>
      <c r="B73" s="2966" t="s">
        <v>2223</v>
      </c>
      <c r="C73" s="2966"/>
      <c r="D73" s="2966"/>
      <c r="E73" s="2966"/>
      <c r="F73" s="2966"/>
      <c r="G73" s="2966"/>
      <c r="H73" s="2966"/>
      <c r="I73" s="2966"/>
      <c r="J73" s="2268"/>
      <c r="K73" s="2268"/>
      <c r="L73" s="2268"/>
    </row>
    <row r="74" spans="1:12" ht="11.25" customHeight="1">
      <c r="A74" s="1681"/>
      <c r="B74" s="2276"/>
      <c r="C74" s="2276"/>
      <c r="D74" s="2276"/>
      <c r="E74" s="2276"/>
      <c r="F74" s="2276"/>
      <c r="G74" s="2276"/>
      <c r="H74" s="2276"/>
      <c r="I74" s="2276"/>
      <c r="J74" s="2268"/>
      <c r="K74" s="2268"/>
      <c r="L74" s="2268"/>
    </row>
    <row r="75" spans="1:12" ht="27" customHeight="1">
      <c r="A75" s="1649" t="s">
        <v>2238</v>
      </c>
      <c r="B75" s="2966" t="s">
        <v>2224</v>
      </c>
      <c r="C75" s="2966"/>
      <c r="D75" s="2966"/>
      <c r="E75" s="2966"/>
      <c r="F75" s="2966"/>
      <c r="G75" s="2966"/>
      <c r="H75" s="2966"/>
      <c r="I75" s="2966"/>
      <c r="J75" s="2268"/>
      <c r="K75" s="2268"/>
      <c r="L75" s="2268"/>
    </row>
    <row r="76" spans="1:12" ht="10.5" customHeight="1">
      <c r="A76" s="1649"/>
      <c r="B76" s="2456"/>
      <c r="C76" s="2456"/>
      <c r="D76" s="2456"/>
      <c r="E76" s="2456"/>
      <c r="F76" s="2456"/>
      <c r="G76" s="2456"/>
      <c r="H76" s="2456"/>
      <c r="I76" s="2456"/>
      <c r="J76" s="2268"/>
      <c r="K76" s="2268"/>
      <c r="L76" s="2268"/>
    </row>
    <row r="77" spans="1:12" ht="12" customHeight="1">
      <c r="A77" s="1649">
        <v>2.2000000000000002</v>
      </c>
      <c r="B77" s="1794" t="s">
        <v>2267</v>
      </c>
      <c r="C77" s="2461"/>
      <c r="D77" s="2456"/>
      <c r="E77" s="2456"/>
      <c r="F77" s="2456"/>
      <c r="G77" s="2456"/>
      <c r="H77" s="2456"/>
      <c r="I77" s="2456"/>
      <c r="J77" s="2268"/>
      <c r="K77" s="2268"/>
      <c r="L77" s="2268"/>
    </row>
    <row r="78" spans="1:12" ht="27" customHeight="1">
      <c r="A78" s="1649"/>
      <c r="B78" s="2966" t="s">
        <v>2268</v>
      </c>
      <c r="C78" s="2966"/>
      <c r="D78" s="2966"/>
      <c r="E78" s="2966"/>
      <c r="F78" s="2966"/>
      <c r="G78" s="2966"/>
      <c r="H78" s="2966"/>
      <c r="I78" s="2966"/>
      <c r="J78" s="2268"/>
      <c r="K78" s="2268"/>
      <c r="L78" s="2268"/>
    </row>
    <row r="79" spans="1:12">
      <c r="A79" s="1681"/>
      <c r="B79" s="1692"/>
      <c r="C79" s="2277"/>
      <c r="D79" s="2277"/>
      <c r="E79" s="2277"/>
      <c r="F79" s="2277"/>
      <c r="G79" s="2277"/>
      <c r="H79" s="2277"/>
      <c r="I79" s="2277"/>
      <c r="J79" s="2268"/>
      <c r="K79" s="2268"/>
      <c r="L79" s="2268"/>
    </row>
    <row r="80" spans="1:12">
      <c r="A80" s="1649" t="s">
        <v>1986</v>
      </c>
      <c r="B80" s="2978" t="s">
        <v>2269</v>
      </c>
      <c r="C80" s="2973"/>
      <c r="D80" s="2973"/>
      <c r="E80" s="2973"/>
      <c r="F80" s="2973"/>
      <c r="G80" s="2973"/>
      <c r="H80" s="2973"/>
      <c r="I80" s="2973"/>
      <c r="J80" s="2268"/>
      <c r="K80" s="2268"/>
      <c r="L80" s="2268"/>
    </row>
    <row r="81" spans="1:12">
      <c r="A81" s="1649"/>
      <c r="B81" s="2973"/>
      <c r="C81" s="2973"/>
      <c r="D81" s="2973"/>
      <c r="E81" s="2973"/>
      <c r="F81" s="2973"/>
      <c r="G81" s="2973"/>
      <c r="H81" s="2973"/>
      <c r="I81" s="2973"/>
      <c r="J81" s="2268"/>
      <c r="K81" s="2268"/>
      <c r="L81" s="2268"/>
    </row>
    <row r="82" spans="1:12">
      <c r="A82" s="1681"/>
      <c r="B82" s="2024"/>
      <c r="C82" s="2024"/>
      <c r="D82" s="2024"/>
      <c r="E82" s="2024"/>
      <c r="F82" s="2024"/>
      <c r="G82" s="2024"/>
      <c r="H82" s="2024"/>
      <c r="I82" s="2024"/>
      <c r="J82" s="2268"/>
      <c r="K82" s="2268"/>
      <c r="L82" s="2268"/>
    </row>
    <row r="83" spans="1:12">
      <c r="A83" s="1681">
        <v>3.1</v>
      </c>
      <c r="B83" s="2967" t="s">
        <v>2562</v>
      </c>
      <c r="C83" s="2967"/>
      <c r="D83" s="2967"/>
      <c r="E83" s="2967"/>
      <c r="F83" s="2967"/>
      <c r="G83" s="2967"/>
      <c r="H83" s="2967"/>
      <c r="I83" s="2967"/>
      <c r="J83" s="2268"/>
      <c r="K83" s="2268"/>
      <c r="L83" s="2268"/>
    </row>
    <row r="84" spans="1:12">
      <c r="A84" s="1681"/>
      <c r="B84" s="2967"/>
      <c r="C84" s="2967"/>
      <c r="D84" s="2967"/>
      <c r="E84" s="2967"/>
      <c r="F84" s="2967"/>
      <c r="G84" s="2967"/>
      <c r="H84" s="2967"/>
      <c r="I84" s="2967"/>
      <c r="J84" s="2268"/>
      <c r="K84" s="2268"/>
      <c r="L84" s="2268"/>
    </row>
    <row r="85" spans="1:12">
      <c r="A85" s="1681"/>
      <c r="B85" s="2967"/>
      <c r="C85" s="2967"/>
      <c r="D85" s="2967"/>
      <c r="E85" s="2967"/>
      <c r="F85" s="2967"/>
      <c r="G85" s="2967"/>
      <c r="H85" s="2967"/>
      <c r="I85" s="2967"/>
      <c r="J85" s="2268"/>
      <c r="K85" s="2268"/>
      <c r="L85" s="2268"/>
    </row>
    <row r="86" spans="1:12" ht="1.5" customHeight="1">
      <c r="A86" s="1681"/>
      <c r="B86" s="2967"/>
      <c r="C86" s="2967"/>
      <c r="D86" s="2967"/>
      <c r="E86" s="2967"/>
      <c r="F86" s="2967"/>
      <c r="G86" s="2967"/>
      <c r="H86" s="2967"/>
      <c r="I86" s="2967"/>
      <c r="J86" s="2268"/>
      <c r="K86" s="2268"/>
      <c r="L86" s="2268"/>
    </row>
    <row r="87" spans="1:12">
      <c r="A87" s="1681"/>
      <c r="B87" s="2285"/>
      <c r="C87" s="2285"/>
      <c r="D87" s="2285"/>
      <c r="E87" s="2285"/>
      <c r="F87" s="2285"/>
      <c r="G87" s="2285"/>
      <c r="H87" s="2285"/>
      <c r="I87" s="2285"/>
      <c r="J87" s="2268"/>
      <c r="K87" s="2268"/>
      <c r="L87" s="2268"/>
    </row>
    <row r="88" spans="1:12">
      <c r="A88" s="1681">
        <v>3.2</v>
      </c>
      <c r="B88" s="2978" t="s">
        <v>2275</v>
      </c>
      <c r="C88" s="2973"/>
      <c r="D88" s="2973"/>
      <c r="E88" s="2973"/>
      <c r="F88" s="2973"/>
      <c r="G88" s="2973"/>
      <c r="H88" s="2973"/>
      <c r="I88" s="2973"/>
      <c r="J88" s="2268"/>
      <c r="K88" s="2268"/>
      <c r="L88" s="2268"/>
    </row>
    <row r="89" spans="1:12">
      <c r="A89" s="1681"/>
      <c r="B89" s="2973"/>
      <c r="C89" s="2973"/>
      <c r="D89" s="2973"/>
      <c r="E89" s="2973"/>
      <c r="F89" s="2973"/>
      <c r="G89" s="2973"/>
      <c r="H89" s="2973"/>
      <c r="I89" s="2973"/>
      <c r="J89" s="2268"/>
      <c r="K89" s="2268"/>
      <c r="L89" s="2268"/>
    </row>
    <row r="90" spans="1:12" s="1915" customFormat="1">
      <c r="A90" s="1681"/>
      <c r="B90" s="2967" t="s">
        <v>2276</v>
      </c>
      <c r="C90" s="2967"/>
      <c r="D90" s="2967"/>
      <c r="E90" s="2967"/>
      <c r="F90" s="2967"/>
      <c r="G90" s="2967"/>
      <c r="H90" s="2967"/>
      <c r="I90" s="2967"/>
      <c r="K90" s="1550"/>
    </row>
    <row r="91" spans="1:12" s="1915" customFormat="1">
      <c r="A91" s="1681"/>
      <c r="B91" s="2967"/>
      <c r="C91" s="2967"/>
      <c r="D91" s="2967"/>
      <c r="E91" s="2967"/>
      <c r="F91" s="2967"/>
      <c r="G91" s="2967"/>
      <c r="H91" s="2967"/>
      <c r="I91" s="2967"/>
      <c r="K91" s="1550"/>
    </row>
    <row r="92" spans="1:12" s="1915" customFormat="1" ht="23.25" customHeight="1">
      <c r="A92" s="1681"/>
      <c r="B92" s="2967"/>
      <c r="C92" s="2967"/>
      <c r="D92" s="2967"/>
      <c r="E92" s="2967"/>
      <c r="F92" s="2967"/>
      <c r="G92" s="2967"/>
      <c r="H92" s="2967"/>
      <c r="I92" s="2967"/>
      <c r="K92" s="1550"/>
    </row>
    <row r="93" spans="1:12" s="1915" customFormat="1" ht="3" customHeight="1">
      <c r="A93" s="1681"/>
      <c r="B93" s="2967"/>
      <c r="C93" s="2967"/>
      <c r="D93" s="2967"/>
      <c r="E93" s="2967"/>
      <c r="F93" s="2967"/>
      <c r="G93" s="2967"/>
      <c r="H93" s="2967"/>
      <c r="I93" s="2967"/>
      <c r="K93" s="1550"/>
    </row>
    <row r="94" spans="1:12" s="1915" customFormat="1" ht="12" hidden="1" customHeight="1">
      <c r="A94" s="1681"/>
      <c r="B94" s="2967"/>
      <c r="C94" s="2967"/>
      <c r="D94" s="2967"/>
      <c r="E94" s="2967"/>
      <c r="F94" s="2967"/>
      <c r="G94" s="2967"/>
      <c r="H94" s="2967"/>
      <c r="I94" s="2967"/>
      <c r="K94" s="1550"/>
    </row>
    <row r="95" spans="1:12" s="1915" customFormat="1" ht="12" hidden="1" customHeight="1">
      <c r="A95" s="1681"/>
      <c r="B95" s="2967"/>
      <c r="C95" s="2967"/>
      <c r="D95" s="2967"/>
      <c r="E95" s="2967"/>
      <c r="F95" s="2967"/>
      <c r="G95" s="2967"/>
      <c r="H95" s="2967"/>
      <c r="I95" s="2967"/>
      <c r="K95" s="1550"/>
    </row>
    <row r="96" spans="1:12" s="1915" customFormat="1" ht="12" hidden="1" customHeight="1">
      <c r="A96" s="1681"/>
      <c r="B96" s="2967"/>
      <c r="C96" s="2967"/>
      <c r="D96" s="2967"/>
      <c r="E96" s="2967"/>
      <c r="F96" s="2967"/>
      <c r="G96" s="2967"/>
      <c r="H96" s="2967"/>
      <c r="I96" s="2967"/>
      <c r="K96" s="1550"/>
    </row>
    <row r="97" spans="1:16" s="1915" customFormat="1" ht="12" hidden="1" customHeight="1">
      <c r="A97" s="1681"/>
      <c r="B97" s="2967"/>
      <c r="C97" s="2967"/>
      <c r="D97" s="2967"/>
      <c r="E97" s="2967"/>
      <c r="F97" s="2967"/>
      <c r="G97" s="2967"/>
      <c r="H97" s="2967"/>
      <c r="I97" s="2967"/>
      <c r="K97" s="1550"/>
    </row>
    <row r="98" spans="1:16" s="1915" customFormat="1" ht="12" hidden="1" customHeight="1">
      <c r="A98" s="1681"/>
      <c r="B98" s="2967"/>
      <c r="C98" s="2967"/>
      <c r="D98" s="2967"/>
      <c r="E98" s="2967"/>
      <c r="F98" s="2967"/>
      <c r="G98" s="2967"/>
      <c r="H98" s="2967"/>
      <c r="I98" s="2967"/>
      <c r="K98" s="1550"/>
    </row>
    <row r="99" spans="1:16" s="1915" customFormat="1" ht="12" hidden="1" customHeight="1">
      <c r="A99" s="1681"/>
      <c r="B99" s="2967"/>
      <c r="C99" s="2967"/>
      <c r="D99" s="2967"/>
      <c r="E99" s="2967"/>
      <c r="F99" s="2967"/>
      <c r="G99" s="2967"/>
      <c r="H99" s="2967"/>
      <c r="I99" s="2967"/>
      <c r="K99" s="1550"/>
    </row>
    <row r="100" spans="1:16" s="1915" customFormat="1">
      <c r="A100" s="1681"/>
      <c r="B100" s="1784"/>
      <c r="C100" s="1784"/>
      <c r="D100" s="1784"/>
      <c r="E100" s="1784"/>
      <c r="F100" s="1784"/>
      <c r="G100" s="1784"/>
      <c r="H100" s="1784"/>
      <c r="I100" s="1784"/>
      <c r="K100" s="1550"/>
    </row>
    <row r="101" spans="1:16" s="1915" customFormat="1" ht="15">
      <c r="A101" s="1681">
        <v>4</v>
      </c>
      <c r="B101" s="2461" t="s">
        <v>2270</v>
      </c>
      <c r="C101" s="1784"/>
      <c r="D101" s="1784"/>
      <c r="E101" s="1784"/>
      <c r="F101" s="1784"/>
      <c r="G101" s="1784"/>
      <c r="H101" s="1784"/>
      <c r="I101" s="1784"/>
      <c r="K101" s="1550"/>
    </row>
    <row r="102" spans="1:16" s="1915" customFormat="1">
      <c r="A102" s="1681"/>
      <c r="B102" s="1784"/>
      <c r="C102" s="1784"/>
      <c r="D102" s="1784"/>
      <c r="E102" s="1784"/>
      <c r="F102" s="1784"/>
      <c r="G102" s="1784"/>
      <c r="H102" s="1784"/>
      <c r="I102" s="1784"/>
      <c r="K102" s="1550"/>
    </row>
    <row r="103" spans="1:16" s="1915" customFormat="1" ht="12" customHeight="1">
      <c r="A103" s="1681"/>
      <c r="B103" s="2967" t="s">
        <v>2548</v>
      </c>
      <c r="C103" s="2967"/>
      <c r="D103" s="2967"/>
      <c r="E103" s="2967"/>
      <c r="F103" s="2967"/>
      <c r="G103" s="2967"/>
      <c r="H103" s="2967"/>
      <c r="I103" s="2967"/>
      <c r="K103" s="1550"/>
    </row>
    <row r="104" spans="1:16" s="1915" customFormat="1" ht="60.75" customHeight="1">
      <c r="A104" s="1681"/>
      <c r="B104" s="2967"/>
      <c r="C104" s="2967"/>
      <c r="D104" s="2967"/>
      <c r="E104" s="2967"/>
      <c r="F104" s="2967"/>
      <c r="G104" s="2967"/>
      <c r="H104" s="2967"/>
      <c r="I104" s="2967"/>
      <c r="K104" s="1550"/>
    </row>
    <row r="105" spans="1:16" s="1915" customFormat="1">
      <c r="A105" s="1680"/>
      <c r="B105" s="2459"/>
      <c r="C105" s="2459"/>
      <c r="D105" s="2459"/>
      <c r="E105" s="2459"/>
      <c r="F105" s="2459"/>
      <c r="G105" s="2459"/>
      <c r="H105" s="2459"/>
      <c r="I105" s="2459"/>
      <c r="K105" s="1550"/>
    </row>
    <row r="106" spans="1:16" s="1915" customFormat="1" ht="15">
      <c r="A106" s="1680">
        <v>5</v>
      </c>
      <c r="B106" s="2461" t="s">
        <v>2271</v>
      </c>
      <c r="C106" s="2459"/>
      <c r="D106" s="2459"/>
      <c r="E106" s="2459"/>
      <c r="F106" s="2459"/>
      <c r="G106" s="2459"/>
      <c r="H106" s="2459"/>
      <c r="I106" s="2459"/>
      <c r="K106" s="1550"/>
    </row>
    <row r="107" spans="1:16" s="1915" customFormat="1">
      <c r="A107" s="1680"/>
      <c r="B107" s="2459"/>
      <c r="C107" s="2459"/>
      <c r="D107" s="2459"/>
      <c r="E107" s="2459"/>
      <c r="F107" s="2459"/>
      <c r="G107" s="2459"/>
      <c r="H107" s="2459"/>
      <c r="I107" s="2459"/>
      <c r="K107" s="1550"/>
    </row>
    <row r="108" spans="1:16" s="1915" customFormat="1">
      <c r="A108" s="1680"/>
      <c r="B108" s="2967" t="s">
        <v>2549</v>
      </c>
      <c r="C108" s="2967"/>
      <c r="D108" s="2967"/>
      <c r="E108" s="2967"/>
      <c r="F108" s="2967"/>
      <c r="G108" s="2967"/>
      <c r="H108" s="2967"/>
      <c r="I108" s="2967"/>
      <c r="K108" s="1550"/>
    </row>
    <row r="109" spans="1:16" s="1915" customFormat="1">
      <c r="A109" s="1680"/>
      <c r="B109" s="2967"/>
      <c r="C109" s="2967"/>
      <c r="D109" s="2967"/>
      <c r="E109" s="2967"/>
      <c r="F109" s="2967"/>
      <c r="G109" s="2967"/>
      <c r="H109" s="2967"/>
      <c r="I109" s="2967"/>
      <c r="K109" s="1550"/>
    </row>
    <row r="110" spans="1:16" s="1915" customFormat="1">
      <c r="A110" s="1680"/>
      <c r="B110" s="2459"/>
      <c r="C110" s="2459"/>
      <c r="D110" s="2459"/>
      <c r="E110" s="2459"/>
      <c r="F110" s="2459"/>
      <c r="G110" s="2459"/>
      <c r="H110" s="2459"/>
      <c r="I110" s="2459"/>
      <c r="K110" s="1550"/>
    </row>
    <row r="111" spans="1:16" s="1915" customFormat="1" ht="12.75" customHeight="1">
      <c r="A111" s="1680"/>
      <c r="B111" s="2277"/>
      <c r="C111" s="1692"/>
      <c r="E111" s="1692"/>
      <c r="F111" s="1692"/>
      <c r="G111" s="1655" t="s">
        <v>2245</v>
      </c>
      <c r="H111" s="1844"/>
      <c r="I111" s="2275" t="s">
        <v>2206</v>
      </c>
      <c r="J111" s="2233"/>
      <c r="K111" s="1732"/>
      <c r="L111" s="1688"/>
      <c r="M111" s="1666"/>
      <c r="N111" s="2234"/>
      <c r="O111" s="1666"/>
      <c r="P111" s="1666"/>
    </row>
    <row r="112" spans="1:16" s="1915" customFormat="1" ht="12.75" customHeight="1">
      <c r="A112" s="1805"/>
      <c r="B112" s="2284"/>
      <c r="C112" s="2284"/>
      <c r="E112" s="2276"/>
      <c r="F112" s="2276"/>
      <c r="G112" s="2235">
        <v>2021</v>
      </c>
      <c r="H112" s="1804"/>
      <c r="I112" s="2236">
        <v>2021</v>
      </c>
      <c r="J112" s="2233"/>
      <c r="K112" s="2289"/>
      <c r="L112" s="1688"/>
      <c r="M112" s="1666"/>
      <c r="N112" s="2234"/>
      <c r="O112" s="1666"/>
      <c r="P112" s="1666"/>
    </row>
    <row r="113" spans="1:14" s="1915" customFormat="1" ht="12.95" customHeight="1">
      <c r="A113" s="1805"/>
      <c r="B113" s="2284"/>
      <c r="C113" s="2284"/>
      <c r="E113" s="2276"/>
      <c r="F113" s="2276"/>
      <c r="G113" s="2217" t="s">
        <v>1989</v>
      </c>
      <c r="H113" s="2276"/>
      <c r="I113" s="2217" t="s">
        <v>1916</v>
      </c>
      <c r="J113" s="2287"/>
      <c r="K113" s="2289"/>
      <c r="L113" s="2287"/>
      <c r="N113" s="1550"/>
    </row>
    <row r="114" spans="1:14" s="1915" customFormat="1" ht="12.75" hidden="1" customHeight="1">
      <c r="A114" s="1681">
        <v>4</v>
      </c>
      <c r="B114" s="1680" t="s">
        <v>844</v>
      </c>
      <c r="C114" s="2277"/>
      <c r="E114" s="2217"/>
      <c r="F114" s="2217"/>
      <c r="G114" s="2288" t="s">
        <v>1990</v>
      </c>
      <c r="H114" s="2217"/>
      <c r="I114" s="2217"/>
      <c r="J114" s="2989"/>
      <c r="K114" s="2990"/>
      <c r="L114" s="2990"/>
      <c r="N114" s="1550"/>
    </row>
    <row r="115" spans="1:14" s="1915" customFormat="1" ht="12.75" hidden="1" customHeight="1">
      <c r="A115" s="1692"/>
      <c r="B115" s="1692"/>
      <c r="C115" s="2277"/>
      <c r="E115" s="2284"/>
      <c r="F115" s="2284"/>
      <c r="G115" s="1692"/>
      <c r="H115" s="2284"/>
      <c r="I115" s="1545"/>
      <c r="J115" s="1732"/>
      <c r="K115" s="2294"/>
      <c r="L115" s="1545"/>
      <c r="N115" s="1550"/>
    </row>
    <row r="116" spans="1:14" s="1915" customFormat="1" ht="12.95" customHeight="1">
      <c r="A116" s="1680">
        <v>6</v>
      </c>
      <c r="B116" s="1680" t="s">
        <v>844</v>
      </c>
      <c r="C116" s="2277"/>
      <c r="E116" s="1694"/>
      <c r="F116" s="2219" t="s">
        <v>678</v>
      </c>
      <c r="G116" s="2916" t="s">
        <v>707</v>
      </c>
      <c r="H116" s="2916"/>
      <c r="I116" s="2916"/>
      <c r="J116" s="1732"/>
      <c r="K116" s="2294"/>
      <c r="L116" s="1545"/>
      <c r="N116" s="1550"/>
    </row>
    <row r="117" spans="1:14" s="1915" customFormat="1" ht="12.95" customHeight="1">
      <c r="A117" s="1680"/>
      <c r="B117" s="1680"/>
      <c r="C117" s="2277"/>
      <c r="E117" s="1694"/>
      <c r="F117" s="2219"/>
      <c r="G117" s="1679"/>
      <c r="H117" s="1694"/>
      <c r="I117" s="1694"/>
      <c r="J117" s="1732"/>
      <c r="K117" s="2294"/>
      <c r="L117" s="1545"/>
      <c r="N117" s="1550"/>
    </row>
    <row r="118" spans="1:14" s="1915" customFormat="1" ht="12.95" customHeight="1">
      <c r="A118" s="1681"/>
      <c r="B118" s="2277" t="s">
        <v>2142</v>
      </c>
      <c r="C118" s="2277"/>
      <c r="E118" s="2294"/>
      <c r="F118" s="1843">
        <v>6.1</v>
      </c>
      <c r="G118" s="1602">
        <f>'TB 18'!H15</f>
        <v>10319</v>
      </c>
      <c r="H118" s="2294"/>
      <c r="I118" s="1602">
        <v>11</v>
      </c>
      <c r="J118" s="1546"/>
      <c r="K118" s="2294"/>
      <c r="L118" s="1602"/>
      <c r="N118" s="1550"/>
    </row>
    <row r="119" spans="1:14" s="1915" customFormat="1" ht="12.95" customHeight="1">
      <c r="A119" s="1681"/>
      <c r="B119" s="2277" t="s">
        <v>2143</v>
      </c>
      <c r="C119" s="2277"/>
      <c r="E119" s="2294"/>
      <c r="F119" s="1843">
        <v>6.2</v>
      </c>
      <c r="G119" s="1602">
        <f>'TB 18'!H14-'TB 18'!H15</f>
        <v>358509</v>
      </c>
      <c r="H119" s="2294"/>
      <c r="I119" s="1602">
        <v>78366</v>
      </c>
      <c r="J119" s="1546"/>
      <c r="K119" s="2294"/>
      <c r="L119" s="1602"/>
      <c r="N119" s="1550"/>
    </row>
    <row r="120" spans="1:14" s="1915" customFormat="1" ht="12.95" customHeight="1" thickBot="1">
      <c r="A120" s="1805"/>
      <c r="B120" s="2277"/>
      <c r="C120" s="2277"/>
      <c r="E120" s="1547"/>
      <c r="F120" s="1547"/>
      <c r="G120" s="2462">
        <f>SUM(G118:G119)</f>
        <v>368828</v>
      </c>
      <c r="H120" s="2459"/>
      <c r="I120" s="2462">
        <f>SUM(I118:I119)</f>
        <v>78377</v>
      </c>
      <c r="J120" s="1546"/>
      <c r="K120" s="2209"/>
      <c r="L120" s="1602"/>
      <c r="N120" s="1550"/>
    </row>
    <row r="121" spans="1:14" s="1915" customFormat="1" ht="12.75" thickTop="1">
      <c r="A121" s="2025"/>
      <c r="B121" s="2216"/>
      <c r="C121" s="2216"/>
      <c r="D121" s="2216"/>
      <c r="E121" s="2216"/>
      <c r="F121" s="2216"/>
      <c r="G121" s="2216"/>
      <c r="H121" s="2216"/>
      <c r="I121" s="2216"/>
      <c r="K121" s="1550"/>
    </row>
    <row r="122" spans="1:14" s="1915" customFormat="1">
      <c r="A122" s="2831">
        <v>6.1</v>
      </c>
      <c r="B122" s="2974" t="s">
        <v>2524</v>
      </c>
      <c r="C122" s="2974"/>
      <c r="D122" s="2974"/>
      <c r="E122" s="2974"/>
      <c r="F122" s="2974"/>
      <c r="G122" s="2974"/>
      <c r="H122" s="2974"/>
      <c r="I122" s="2974"/>
      <c r="K122" s="1550">
        <f>12000/1000000</f>
        <v>1.2E-2</v>
      </c>
    </row>
    <row r="123" spans="1:14" s="1915" customFormat="1" ht="18" customHeight="1">
      <c r="A123" s="1732"/>
      <c r="B123" s="2974"/>
      <c r="C123" s="2974"/>
      <c r="D123" s="2974"/>
      <c r="E123" s="2974"/>
      <c r="F123" s="2974"/>
      <c r="G123" s="2974"/>
      <c r="H123" s="2974"/>
      <c r="I123" s="2974"/>
      <c r="K123" s="1550"/>
    </row>
    <row r="124" spans="1:14" s="1915" customFormat="1" ht="12" hidden="1" customHeight="1">
      <c r="A124" s="1732"/>
      <c r="B124" s="2974"/>
      <c r="C124" s="2974"/>
      <c r="D124" s="2974"/>
      <c r="E124" s="2974"/>
      <c r="F124" s="2974"/>
      <c r="G124" s="2974"/>
      <c r="H124" s="2974"/>
      <c r="I124" s="2974"/>
      <c r="K124" s="1550"/>
    </row>
    <row r="125" spans="1:14" s="1915" customFormat="1" hidden="1">
      <c r="A125" s="1732"/>
      <c r="B125" s="2828"/>
      <c r="C125" s="2828"/>
      <c r="D125" s="2828"/>
      <c r="E125" s="2828"/>
      <c r="F125" s="2828"/>
      <c r="G125" s="2828"/>
      <c r="H125" s="2828"/>
      <c r="I125" s="2828"/>
      <c r="K125" s="1550"/>
    </row>
    <row r="126" spans="1:14" s="1915" customFormat="1">
      <c r="A126" s="1732"/>
      <c r="B126" s="2828"/>
      <c r="C126" s="2828"/>
      <c r="D126" s="2828"/>
      <c r="E126" s="2828"/>
      <c r="F126" s="2828"/>
      <c r="G126" s="2828"/>
      <c r="H126" s="2828"/>
      <c r="I126" s="2828"/>
      <c r="K126" s="1550"/>
    </row>
    <row r="127" spans="1:14" s="1915" customFormat="1" ht="12" customHeight="1">
      <c r="A127" s="2831">
        <v>6.2</v>
      </c>
      <c r="B127" s="2966" t="s">
        <v>2525</v>
      </c>
      <c r="C127" s="2966"/>
      <c r="D127" s="2966"/>
      <c r="E127" s="2966"/>
      <c r="F127" s="2966"/>
      <c r="G127" s="2966"/>
      <c r="H127" s="2966"/>
      <c r="I127" s="2966"/>
      <c r="J127" s="2304"/>
      <c r="K127" s="1550"/>
    </row>
    <row r="128" spans="1:14" s="1915" customFormat="1" ht="9" customHeight="1">
      <c r="A128" s="1732"/>
      <c r="B128" s="2966"/>
      <c r="C128" s="2966"/>
      <c r="D128" s="2966"/>
      <c r="E128" s="2966"/>
      <c r="F128" s="2966"/>
      <c r="G128" s="2966"/>
      <c r="H128" s="2966"/>
      <c r="I128" s="2966"/>
      <c r="J128" s="2304"/>
      <c r="K128" s="1550"/>
    </row>
    <row r="129" spans="1:16" s="1915" customFormat="1">
      <c r="A129" s="1732"/>
      <c r="B129" s="2966"/>
      <c r="C129" s="2966"/>
      <c r="D129" s="2966"/>
      <c r="E129" s="2966"/>
      <c r="F129" s="2966"/>
      <c r="G129" s="2966"/>
      <c r="H129" s="2966"/>
      <c r="I129" s="2966"/>
      <c r="J129" s="2304"/>
      <c r="K129" s="1550"/>
    </row>
    <row r="130" spans="1:16" s="1915" customFormat="1" ht="14.25" customHeight="1">
      <c r="A130" s="1732"/>
      <c r="B130" s="2966"/>
      <c r="C130" s="2966"/>
      <c r="D130" s="2966"/>
      <c r="E130" s="2966"/>
      <c r="F130" s="2966"/>
      <c r="G130" s="2966"/>
      <c r="H130" s="2966"/>
      <c r="I130" s="2966"/>
      <c r="J130" s="2304"/>
      <c r="K130" s="1550"/>
    </row>
    <row r="131" spans="1:16" s="1915" customFormat="1">
      <c r="A131" s="2026"/>
      <c r="B131" s="2216"/>
      <c r="C131" s="2216"/>
      <c r="D131" s="2216"/>
      <c r="E131" s="2216"/>
      <c r="F131" s="2216"/>
      <c r="G131" s="2216"/>
      <c r="H131" s="2216"/>
      <c r="I131" s="2216"/>
      <c r="K131" s="1550"/>
    </row>
    <row r="132" spans="1:16" s="1915" customFormat="1" ht="12.95" customHeight="1">
      <c r="A132" s="1680"/>
      <c r="B132" s="2277"/>
      <c r="C132" s="1692"/>
      <c r="E132" s="1692"/>
      <c r="F132" s="1692"/>
      <c r="G132" s="1655" t="s">
        <v>2245</v>
      </c>
      <c r="H132" s="1844"/>
      <c r="I132" s="2275" t="s">
        <v>2206</v>
      </c>
      <c r="J132" s="2233"/>
      <c r="K132" s="1732"/>
      <c r="L132" s="1688"/>
      <c r="M132" s="1666"/>
      <c r="N132" s="2234"/>
      <c r="O132" s="1666"/>
      <c r="P132" s="1666"/>
    </row>
    <row r="133" spans="1:16" s="1915" customFormat="1" ht="12.95" customHeight="1">
      <c r="A133" s="1805"/>
      <c r="B133" s="2284"/>
      <c r="C133" s="2284"/>
      <c r="E133" s="2276"/>
      <c r="F133" s="2276"/>
      <c r="G133" s="2235">
        <v>2021</v>
      </c>
      <c r="H133" s="1804"/>
      <c r="I133" s="2236">
        <v>2021</v>
      </c>
      <c r="J133" s="2233"/>
      <c r="K133" s="2289"/>
      <c r="L133" s="1688"/>
      <c r="M133" s="1666"/>
      <c r="N133" s="2234"/>
      <c r="O133" s="1666"/>
      <c r="P133" s="1666"/>
    </row>
    <row r="134" spans="1:16" ht="12.95" customHeight="1">
      <c r="A134" s="1927"/>
      <c r="B134" s="1580"/>
      <c r="G134" s="2217" t="s">
        <v>1989</v>
      </c>
      <c r="I134" s="2217" t="s">
        <v>1916</v>
      </c>
    </row>
    <row r="135" spans="1:16" ht="12.95" customHeight="1">
      <c r="A135" s="1676">
        <v>7</v>
      </c>
      <c r="B135" s="1675" t="s">
        <v>1991</v>
      </c>
      <c r="F135" s="2286" t="s">
        <v>678</v>
      </c>
      <c r="G135" s="2976" t="s">
        <v>707</v>
      </c>
      <c r="H135" s="2972"/>
      <c r="I135" s="2972"/>
      <c r="J135" s="1727">
        <v>446594</v>
      </c>
    </row>
    <row r="136" spans="1:16" ht="12.95" customHeight="1">
      <c r="J136" s="1926">
        <f>+J135-G144</f>
        <v>-88748.761999999988</v>
      </c>
      <c r="L136" s="2286"/>
      <c r="M136" s="2286" t="s">
        <v>678</v>
      </c>
      <c r="N136" s="2976" t="s">
        <v>707</v>
      </c>
      <c r="O136" s="2972"/>
      <c r="P136" s="2972"/>
    </row>
    <row r="137" spans="1:16" ht="12.95" customHeight="1">
      <c r="A137" s="1676"/>
      <c r="B137" s="2019" t="s">
        <v>1992</v>
      </c>
      <c r="L137" s="1843"/>
      <c r="M137" s="1843"/>
      <c r="N137" s="2020"/>
      <c r="O137" s="1917"/>
      <c r="P137" s="1728"/>
    </row>
    <row r="138" spans="1:16" ht="12.95" customHeight="1">
      <c r="A138" s="1676"/>
      <c r="B138" s="2019"/>
      <c r="L138" s="1843"/>
      <c r="M138" s="1843"/>
      <c r="N138" s="2020"/>
      <c r="O138" s="1917"/>
      <c r="P138" s="1728"/>
    </row>
    <row r="139" spans="1:16" ht="12.95" customHeight="1">
      <c r="A139" s="1676"/>
      <c r="B139" s="1757" t="s">
        <v>845</v>
      </c>
      <c r="C139" s="1692"/>
      <c r="D139" s="1692"/>
      <c r="E139" s="1692"/>
      <c r="F139" s="1843">
        <v>7.1</v>
      </c>
      <c r="G139" s="2584">
        <f>'5.1'!K32</f>
        <v>34858.495000000003</v>
      </c>
      <c r="H139" s="1733"/>
      <c r="I139" s="1733">
        <v>74794.649999999994</v>
      </c>
      <c r="J139" s="1918">
        <f>G139/$G$145</f>
        <v>6.5114348179045711E-2</v>
      </c>
      <c r="L139" s="1613">
        <v>34945369.43</v>
      </c>
    </row>
    <row r="140" spans="1:16" ht="12.95" customHeight="1">
      <c r="A140" s="1681"/>
      <c r="B140" s="1757" t="s">
        <v>846</v>
      </c>
      <c r="C140" s="1692"/>
      <c r="D140" s="1692"/>
      <c r="E140" s="1692"/>
      <c r="F140" s="1843">
        <v>7.2</v>
      </c>
      <c r="G140" s="2584">
        <f>'5.2.1'!I20</f>
        <v>0</v>
      </c>
      <c r="H140" s="1733"/>
      <c r="I140" s="1733">
        <v>0</v>
      </c>
      <c r="J140" s="1918">
        <f>G140/$G$145</f>
        <v>0</v>
      </c>
      <c r="K140" s="1740"/>
      <c r="L140" s="1613">
        <v>58534</v>
      </c>
    </row>
    <row r="141" spans="1:16" ht="12.95" customHeight="1">
      <c r="A141" s="1681"/>
      <c r="B141" s="1757" t="s">
        <v>847</v>
      </c>
      <c r="C141" s="1692"/>
      <c r="D141" s="1692"/>
      <c r="E141" s="1692"/>
      <c r="F141" s="1843">
        <v>7.3</v>
      </c>
      <c r="G141" s="2584">
        <f>'5.3.1'!I32</f>
        <v>155499.50699999998</v>
      </c>
      <c r="H141" s="1733"/>
      <c r="I141" s="1733">
        <v>156232.99799999999</v>
      </c>
      <c r="J141" s="1918">
        <f>G141/$G$145</f>
        <v>0.29046718857104858</v>
      </c>
      <c r="K141" s="1740"/>
      <c r="L141" s="1613">
        <v>182206</v>
      </c>
    </row>
    <row r="142" spans="1:16" ht="12.95" customHeight="1">
      <c r="A142" s="1681"/>
      <c r="B142" s="1757" t="s">
        <v>1524</v>
      </c>
      <c r="C142" s="1692"/>
      <c r="F142" s="2744">
        <v>7.4</v>
      </c>
      <c r="G142" s="2584">
        <f>'Note 6.1'!I123</f>
        <v>339399.76</v>
      </c>
      <c r="I142" s="1613">
        <v>236537</v>
      </c>
      <c r="J142" s="1918"/>
      <c r="K142" s="1740"/>
      <c r="L142" s="1613">
        <v>306215278.20999998</v>
      </c>
    </row>
    <row r="143" spans="1:16" ht="12.95" customHeight="1">
      <c r="A143" s="1681"/>
      <c r="B143" s="1757" t="s">
        <v>2308</v>
      </c>
      <c r="C143" s="1692"/>
      <c r="D143" s="1692"/>
      <c r="E143" s="1692"/>
      <c r="F143" s="1843"/>
      <c r="G143" s="2584">
        <f>'TB 18'!E41</f>
        <v>5585</v>
      </c>
      <c r="H143" s="1733"/>
      <c r="I143" s="1733">
        <v>7652</v>
      </c>
      <c r="J143" s="1711"/>
      <c r="K143" s="1740"/>
      <c r="L143" s="1613">
        <v>14701426.9</v>
      </c>
    </row>
    <row r="144" spans="1:16" s="1704" customFormat="1" ht="12.95" customHeight="1" thickBot="1">
      <c r="A144" s="2021"/>
      <c r="B144" s="1922"/>
      <c r="G144" s="2377">
        <f>SUM(G139:G143)</f>
        <v>535342.76199999999</v>
      </c>
      <c r="H144" s="1851"/>
      <c r="I144" s="1790">
        <f>SUM(I139:I143)</f>
        <v>475216.64799999999</v>
      </c>
      <c r="J144" s="1789"/>
      <c r="L144" s="2155">
        <v>0</v>
      </c>
    </row>
    <row r="145" spans="1:12" s="1704" customFormat="1" ht="12.95" hidden="1" customHeight="1" thickBot="1">
      <c r="A145" s="2021"/>
      <c r="B145" s="1610"/>
      <c r="F145" s="2023"/>
      <c r="G145" s="2496">
        <f>+G144</f>
        <v>535342.76199999999</v>
      </c>
      <c r="H145" s="1789"/>
      <c r="I145" s="2496">
        <f>I144</f>
        <v>475216.64799999999</v>
      </c>
      <c r="J145" s="1921"/>
    </row>
    <row r="146" spans="1:12" s="1704" customFormat="1" ht="12.95" customHeight="1" thickTop="1">
      <c r="A146" s="2021"/>
      <c r="B146" s="1610"/>
      <c r="F146" s="2023"/>
      <c r="G146" s="1851"/>
      <c r="H146" s="1789"/>
      <c r="I146" s="1851"/>
      <c r="J146" s="1921"/>
      <c r="L146" s="1789">
        <f>SUM(L139:L145)</f>
        <v>356102814.53999996</v>
      </c>
    </row>
    <row r="147" spans="1:12" s="1675" customFormat="1">
      <c r="A147" s="1816">
        <v>7.1</v>
      </c>
      <c r="B147" s="1675" t="s">
        <v>2239</v>
      </c>
      <c r="D147" s="2286"/>
    </row>
    <row r="148" spans="1:12" s="1915" customFormat="1">
      <c r="A148" s="2025"/>
      <c r="B148" s="2216"/>
      <c r="C148" s="2216"/>
      <c r="D148" s="2216"/>
      <c r="E148" s="2216"/>
      <c r="F148" s="2216"/>
      <c r="G148" s="2216"/>
      <c r="H148" s="2216"/>
      <c r="I148" s="2216"/>
      <c r="K148" s="1550"/>
    </row>
    <row r="149" spans="1:12" s="1915" customFormat="1">
      <c r="A149" s="2025"/>
      <c r="B149" s="2216"/>
      <c r="C149" s="2216"/>
      <c r="D149" s="2216"/>
      <c r="E149" s="2216"/>
      <c r="F149" s="2216"/>
      <c r="G149" s="2216"/>
      <c r="H149" s="2216"/>
      <c r="I149" s="2216"/>
      <c r="K149" s="1550"/>
    </row>
    <row r="150" spans="1:12" s="1915" customFormat="1">
      <c r="A150" s="2025"/>
      <c r="B150" s="2216"/>
      <c r="C150" s="2216"/>
      <c r="D150" s="2216"/>
      <c r="E150" s="2216"/>
      <c r="F150" s="2216"/>
      <c r="G150" s="2216"/>
      <c r="H150" s="2216"/>
      <c r="I150" s="2216"/>
      <c r="K150" s="1550"/>
    </row>
    <row r="151" spans="1:12" s="1915" customFormat="1">
      <c r="A151" s="2025"/>
      <c r="B151" s="2216"/>
      <c r="C151" s="2216"/>
      <c r="D151" s="2216"/>
      <c r="E151" s="2216"/>
      <c r="F151" s="2216"/>
      <c r="G151" s="2216"/>
      <c r="H151" s="2216"/>
      <c r="I151" s="2216"/>
      <c r="K151" s="1550"/>
    </row>
    <row r="152" spans="1:12" s="1915" customFormat="1">
      <c r="A152" s="2025"/>
      <c r="B152" s="2216"/>
      <c r="C152" s="2216"/>
      <c r="D152" s="2216"/>
      <c r="E152" s="2216"/>
      <c r="F152" s="2216"/>
      <c r="G152" s="2216"/>
      <c r="H152" s="2216"/>
      <c r="I152" s="2216"/>
      <c r="K152" s="1550"/>
    </row>
    <row r="153" spans="1:12" s="1915" customFormat="1">
      <c r="A153" s="2025"/>
      <c r="B153" s="2216"/>
      <c r="C153" s="2216"/>
      <c r="D153" s="2216"/>
      <c r="E153" s="2216"/>
      <c r="F153" s="2216"/>
      <c r="G153" s="2216"/>
      <c r="H153" s="2216"/>
      <c r="I153" s="2216"/>
      <c r="K153" s="1550"/>
    </row>
    <row r="154" spans="1:12" s="1915" customFormat="1">
      <c r="A154" s="2025"/>
      <c r="B154" s="2216"/>
      <c r="C154" s="2216"/>
      <c r="D154" s="2216"/>
      <c r="E154" s="2216"/>
      <c r="F154" s="2216"/>
      <c r="G154" s="2216"/>
      <c r="H154" s="2216"/>
      <c r="I154" s="2216"/>
      <c r="K154" s="1550"/>
    </row>
    <row r="155" spans="1:12" s="1915" customFormat="1">
      <c r="A155" s="2025"/>
      <c r="B155" s="2216"/>
      <c r="C155" s="2216"/>
      <c r="D155" s="2216"/>
      <c r="E155" s="2216"/>
      <c r="F155" s="2216"/>
      <c r="G155" s="2216"/>
      <c r="H155" s="2216"/>
      <c r="I155" s="2216"/>
      <c r="K155" s="1550"/>
    </row>
    <row r="156" spans="1:12" s="1915" customFormat="1">
      <c r="A156" s="2025"/>
      <c r="B156" s="2216"/>
      <c r="C156" s="2216"/>
      <c r="D156" s="2216"/>
      <c r="E156" s="2216"/>
      <c r="F156" s="2216"/>
      <c r="G156" s="2216"/>
      <c r="H156" s="2216"/>
      <c r="I156" s="2216"/>
      <c r="K156" s="1550"/>
    </row>
    <row r="157" spans="1:12" s="1915" customFormat="1">
      <c r="A157" s="2025"/>
      <c r="B157" s="2216"/>
      <c r="C157" s="2216"/>
      <c r="D157" s="2216"/>
      <c r="E157" s="2216"/>
      <c r="F157" s="2216"/>
      <c r="G157" s="2216"/>
      <c r="H157" s="2216"/>
      <c r="I157" s="2216"/>
      <c r="K157" s="1550"/>
    </row>
    <row r="158" spans="1:12" s="1915" customFormat="1">
      <c r="A158" s="2025"/>
      <c r="B158" s="2216"/>
      <c r="C158" s="2216"/>
      <c r="D158" s="2216"/>
      <c r="E158" s="2216"/>
      <c r="F158" s="2216"/>
      <c r="G158" s="2216"/>
      <c r="H158" s="2216"/>
      <c r="I158" s="2216"/>
      <c r="K158" s="1550"/>
    </row>
    <row r="159" spans="1:12" s="1915" customFormat="1">
      <c r="A159" s="2025"/>
      <c r="B159" s="2216"/>
      <c r="C159" s="2216"/>
      <c r="D159" s="2216"/>
      <c r="E159" s="2216"/>
      <c r="F159" s="2216"/>
      <c r="G159" s="2216"/>
      <c r="H159" s="2216"/>
      <c r="I159" s="2216"/>
      <c r="K159" s="1550"/>
    </row>
    <row r="160" spans="1:12" s="1915" customFormat="1">
      <c r="A160" s="2025"/>
      <c r="B160" s="2216"/>
      <c r="C160" s="2216"/>
      <c r="D160" s="2216"/>
      <c r="E160" s="2216"/>
      <c r="F160" s="2216"/>
      <c r="G160" s="2216"/>
      <c r="H160" s="2216"/>
      <c r="I160" s="2216"/>
      <c r="K160" s="1550"/>
    </row>
    <row r="161" spans="1:15" s="1915" customFormat="1">
      <c r="A161" s="2025"/>
      <c r="B161" s="2216"/>
      <c r="C161" s="2216"/>
      <c r="D161" s="2216"/>
      <c r="E161" s="2216"/>
      <c r="F161" s="2216"/>
      <c r="G161" s="2216"/>
      <c r="H161" s="2216"/>
      <c r="I161" s="2216"/>
      <c r="K161" s="1550"/>
    </row>
    <row r="162" spans="1:15" s="1915" customFormat="1">
      <c r="A162" s="2025"/>
      <c r="B162" s="2216"/>
      <c r="C162" s="2216"/>
      <c r="D162" s="2216"/>
      <c r="E162" s="2216"/>
      <c r="F162" s="2216"/>
      <c r="G162" s="2216"/>
      <c r="H162" s="2216"/>
      <c r="I162" s="2216"/>
      <c r="K162" s="1550"/>
    </row>
    <row r="163" spans="1:15" s="1915" customFormat="1">
      <c r="A163" s="2025"/>
      <c r="B163" s="2216"/>
      <c r="C163" s="2216"/>
      <c r="D163" s="2216"/>
      <c r="E163" s="2216"/>
      <c r="F163" s="2216"/>
      <c r="G163" s="2216"/>
      <c r="H163" s="2216"/>
      <c r="I163" s="2216"/>
      <c r="K163" s="1550"/>
    </row>
    <row r="164" spans="1:15" s="1915" customFormat="1">
      <c r="A164" s="2025"/>
      <c r="B164" s="2216"/>
      <c r="C164" s="2216"/>
      <c r="D164" s="2216"/>
      <c r="E164" s="2216"/>
      <c r="F164" s="2216"/>
      <c r="G164" s="2216"/>
      <c r="H164" s="2216"/>
      <c r="I164" s="2216"/>
      <c r="K164" s="1550"/>
    </row>
    <row r="165" spans="1:15" ht="24" hidden="1">
      <c r="G165" s="2301" t="s">
        <v>1987</v>
      </c>
      <c r="I165" s="2282" t="s">
        <v>1988</v>
      </c>
    </row>
    <row r="166" spans="1:15" hidden="1">
      <c r="G166" s="2217" t="s">
        <v>1989</v>
      </c>
      <c r="I166" s="2217" t="s">
        <v>1916</v>
      </c>
    </row>
    <row r="167" spans="1:15" hidden="1">
      <c r="A167" s="1786">
        <f>'1-4.1'!A147+0.1</f>
        <v>7.1999999999999993</v>
      </c>
      <c r="B167" s="1675" t="s">
        <v>846</v>
      </c>
      <c r="F167" s="2286" t="s">
        <v>678</v>
      </c>
      <c r="G167" s="2976" t="s">
        <v>707</v>
      </c>
      <c r="H167" s="2972"/>
      <c r="I167" s="2972"/>
    </row>
    <row r="168" spans="1:15" hidden="1">
      <c r="A168" s="1786"/>
      <c r="B168" s="1675"/>
      <c r="F168" s="2286"/>
      <c r="G168" s="2000"/>
      <c r="H168" s="2000"/>
      <c r="I168" s="2000"/>
    </row>
    <row r="169" spans="1:15" hidden="1">
      <c r="B169" s="1727" t="s">
        <v>1938</v>
      </c>
      <c r="C169" s="1719"/>
      <c r="D169" s="1719"/>
      <c r="E169" s="1719"/>
      <c r="F169" s="2001">
        <f>+'1-4.1'!A212</f>
        <v>7.2</v>
      </c>
      <c r="G169" s="1742">
        <f>+'5.2.1'!I20</f>
        <v>0</v>
      </c>
      <c r="H169" s="1864"/>
      <c r="I169" s="1720">
        <v>242666</v>
      </c>
    </row>
    <row r="170" spans="1:15" ht="6" hidden="1" customHeight="1">
      <c r="A170" s="1797"/>
      <c r="B170" s="1719"/>
      <c r="C170" s="1719"/>
      <c r="D170" s="1719"/>
      <c r="E170" s="1719"/>
      <c r="F170" s="1719"/>
      <c r="G170" s="1719"/>
      <c r="H170" s="1719"/>
      <c r="I170" s="1719"/>
    </row>
    <row r="171" spans="1:15" hidden="1">
      <c r="A171" s="1797"/>
      <c r="B171" s="1713" t="s">
        <v>858</v>
      </c>
      <c r="C171" s="1719"/>
      <c r="D171" s="1719"/>
      <c r="E171" s="1719"/>
      <c r="F171" s="1719"/>
      <c r="G171" s="1787">
        <f>I177</f>
        <v>-72570</v>
      </c>
      <c r="H171" s="1882"/>
      <c r="I171" s="2002">
        <v>-72570</v>
      </c>
    </row>
    <row r="172" spans="1:15" ht="3.95" hidden="1" customHeight="1">
      <c r="A172" s="1797"/>
      <c r="B172" s="2003"/>
      <c r="C172" s="1719"/>
      <c r="D172" s="1719"/>
      <c r="E172" s="1719"/>
      <c r="F172" s="1719"/>
      <c r="G172" s="1731"/>
      <c r="H172" s="1882"/>
      <c r="I172" s="2004"/>
    </row>
    <row r="173" spans="1:15" hidden="1">
      <c r="A173" s="1797"/>
      <c r="B173" s="1713" t="s">
        <v>1947</v>
      </c>
      <c r="C173" s="1713"/>
      <c r="D173" s="1719"/>
      <c r="E173" s="1719"/>
      <c r="F173" s="1719"/>
      <c r="G173" s="1731"/>
      <c r="H173" s="1882"/>
      <c r="I173" s="2004"/>
    </row>
    <row r="174" spans="1:15" hidden="1">
      <c r="A174" s="1797"/>
      <c r="B174" s="2003" t="s">
        <v>859</v>
      </c>
      <c r="C174" s="2003"/>
      <c r="D174" s="1719"/>
      <c r="E174" s="1719"/>
      <c r="F174" s="1719"/>
      <c r="G174" s="1731"/>
      <c r="H174" s="1882"/>
      <c r="I174" s="2004"/>
      <c r="K174" s="1926">
        <f>I176/2</f>
        <v>0</v>
      </c>
    </row>
    <row r="175" spans="1:15" hidden="1">
      <c r="A175" s="1797"/>
      <c r="B175" s="2005" t="s">
        <v>860</v>
      </c>
      <c r="C175" s="2005"/>
      <c r="D175" s="1719"/>
      <c r="E175" s="1719"/>
      <c r="F175" s="1719"/>
      <c r="G175" s="1731">
        <v>0</v>
      </c>
      <c r="H175" s="1882"/>
      <c r="I175" s="2004">
        <v>0</v>
      </c>
      <c r="K175" s="1926">
        <f>K176-G177</f>
        <v>72570</v>
      </c>
      <c r="L175" s="1926">
        <f>G175:G176</f>
        <v>0</v>
      </c>
      <c r="N175" s="1926" t="e">
        <f>G171+'5.2.1'!#REF!</f>
        <v>#REF!</v>
      </c>
      <c r="O175" s="1727">
        <v>-513626</v>
      </c>
    </row>
    <row r="176" spans="1:15" s="1692" customFormat="1" hidden="1">
      <c r="A176" s="2006"/>
      <c r="B176" s="2007" t="s">
        <v>861</v>
      </c>
      <c r="C176" s="2008"/>
      <c r="D176" s="1717"/>
      <c r="E176" s="1717"/>
      <c r="F176" s="1717"/>
      <c r="G176" s="1788">
        <f>Lead!O41</f>
        <v>0</v>
      </c>
      <c r="H176" s="1690"/>
      <c r="I176" s="2009">
        <v>0</v>
      </c>
      <c r="K176" s="2010">
        <f>Lead!K41</f>
        <v>0</v>
      </c>
      <c r="L176" s="1759">
        <f>K176-G177</f>
        <v>72570</v>
      </c>
      <c r="M176" s="2010" t="e">
        <f>SUM(K177:L177)</f>
        <v>#REF!</v>
      </c>
      <c r="O176" s="1759">
        <f>O177+O179</f>
        <v>235237</v>
      </c>
    </row>
    <row r="177" spans="1:15" s="1704" customFormat="1" hidden="1">
      <c r="A177" s="1584"/>
      <c r="B177" s="2011" t="s">
        <v>1939</v>
      </c>
      <c r="C177" s="2012"/>
      <c r="D177" s="1921"/>
      <c r="E177" s="1921"/>
      <c r="F177" s="1921"/>
      <c r="G177" s="1851">
        <f>SUM(G171:G176)</f>
        <v>-72570</v>
      </c>
      <c r="H177" s="1577"/>
      <c r="I177" s="1851">
        <v>-72570</v>
      </c>
      <c r="K177" s="2013">
        <f>Lead!K297</f>
        <v>0</v>
      </c>
      <c r="L177" s="1789" t="e">
        <f>G176+G175+'5.2.1'!#REF!</f>
        <v>#REF!</v>
      </c>
      <c r="M177" s="1789">
        <f>SUM(G175:G176)</f>
        <v>0</v>
      </c>
      <c r="N177" s="1789" t="e">
        <f>I176+I175+'5.2.1'!#REF!</f>
        <v>#REF!</v>
      </c>
      <c r="O177" s="1789">
        <f>G179</f>
        <v>-72570</v>
      </c>
    </row>
    <row r="178" spans="1:15" ht="3.95" hidden="1" customHeight="1">
      <c r="A178" s="1797"/>
      <c r="B178" s="2003"/>
      <c r="C178" s="1719"/>
      <c r="D178" s="1719"/>
      <c r="E178" s="1719"/>
      <c r="F178" s="1719"/>
      <c r="G178" s="1742"/>
      <c r="H178" s="1882"/>
      <c r="I178" s="1742"/>
    </row>
    <row r="179" spans="1:15" s="1704" customFormat="1" ht="12.75" hidden="1" thickBot="1">
      <c r="A179" s="1999"/>
      <c r="B179" s="1576" t="s">
        <v>1940</v>
      </c>
      <c r="C179" s="1921"/>
      <c r="D179" s="1921"/>
      <c r="E179" s="1921"/>
      <c r="F179" s="1713"/>
      <c r="G179" s="1790">
        <f>+G169+G177</f>
        <v>-72570</v>
      </c>
      <c r="H179" s="1577"/>
      <c r="I179" s="1790">
        <v>170096</v>
      </c>
      <c r="K179" s="1704">
        <f>'1-4.1'!G239+'1-4.1'!G240</f>
        <v>307807</v>
      </c>
      <c r="L179" s="2014">
        <f>K179+G179</f>
        <v>235237</v>
      </c>
      <c r="O179" s="1789">
        <f>'1-4.1'!G241</f>
        <v>307807</v>
      </c>
    </row>
    <row r="180" spans="1:15" s="1730" customFormat="1">
      <c r="A180" s="1595"/>
      <c r="B180" s="1666"/>
      <c r="C180" s="1666"/>
      <c r="D180" s="1666"/>
      <c r="E180" s="1666"/>
      <c r="F180" s="1666"/>
      <c r="G180" s="1882"/>
      <c r="H180" s="1882"/>
      <c r="I180" s="1669"/>
    </row>
    <row r="181" spans="1:15" s="1730" customFormat="1">
      <c r="A181" s="1595"/>
      <c r="B181" s="1666"/>
      <c r="C181" s="1666"/>
      <c r="D181" s="1666"/>
      <c r="E181" s="1666"/>
      <c r="F181" s="1666"/>
      <c r="G181" s="1882"/>
      <c r="H181" s="1882"/>
      <c r="I181" s="1669"/>
    </row>
    <row r="182" spans="1:15" s="1730" customFormat="1">
      <c r="A182" s="1595"/>
      <c r="B182" s="1666"/>
      <c r="C182" s="1666"/>
      <c r="D182" s="1666"/>
      <c r="E182" s="1666"/>
      <c r="F182" s="1666"/>
      <c r="G182" s="1882"/>
      <c r="H182" s="1882"/>
      <c r="I182" s="1669"/>
    </row>
    <row r="183" spans="1:15" s="1730" customFormat="1">
      <c r="A183" s="1595"/>
      <c r="B183" s="1666"/>
      <c r="C183" s="1666"/>
      <c r="D183" s="1666"/>
      <c r="E183" s="1666"/>
      <c r="F183" s="1666"/>
      <c r="G183" s="1882"/>
      <c r="H183" s="1882"/>
      <c r="I183" s="1669"/>
    </row>
    <row r="184" spans="1:15" s="1730" customFormat="1">
      <c r="A184" s="1595"/>
      <c r="B184" s="1666"/>
      <c r="C184" s="1666"/>
      <c r="D184" s="1666"/>
      <c r="E184" s="1666"/>
      <c r="F184" s="1666"/>
      <c r="G184" s="1882"/>
      <c r="H184" s="1882"/>
      <c r="I184" s="1669"/>
    </row>
    <row r="185" spans="1:15" s="1730" customFormat="1">
      <c r="A185" s="1595"/>
      <c r="B185" s="1666"/>
      <c r="C185" s="1666"/>
      <c r="D185" s="1666"/>
      <c r="E185" s="1666"/>
      <c r="F185" s="1666"/>
      <c r="G185" s="1882"/>
      <c r="H185" s="1882"/>
      <c r="I185" s="1669"/>
    </row>
    <row r="186" spans="1:15" s="1730" customFormat="1">
      <c r="A186" s="1595"/>
      <c r="B186" s="1666"/>
      <c r="C186" s="1666"/>
      <c r="D186" s="1666"/>
      <c r="E186" s="1666"/>
      <c r="F186" s="1666"/>
      <c r="G186" s="1882"/>
      <c r="H186" s="1882"/>
      <c r="I186" s="1669"/>
    </row>
    <row r="187" spans="1:15" s="1730" customFormat="1">
      <c r="A187" s="1595"/>
      <c r="B187" s="1666"/>
      <c r="C187" s="1666"/>
      <c r="D187" s="1666"/>
      <c r="E187" s="1666"/>
      <c r="F187" s="1666"/>
      <c r="G187" s="1882"/>
      <c r="H187" s="1882"/>
      <c r="I187" s="1669"/>
    </row>
    <row r="188" spans="1:15" s="1730" customFormat="1">
      <c r="A188" s="1595"/>
      <c r="B188" s="1666"/>
      <c r="C188" s="1666"/>
      <c r="D188" s="1666"/>
      <c r="E188" s="1666"/>
      <c r="F188" s="1666"/>
      <c r="G188" s="1882"/>
      <c r="H188" s="1882"/>
      <c r="I188" s="1669"/>
    </row>
    <row r="189" spans="1:15" s="1730" customFormat="1">
      <c r="A189" s="1595"/>
      <c r="B189" s="1666"/>
      <c r="C189" s="1666"/>
      <c r="D189" s="1666"/>
      <c r="E189" s="1666"/>
      <c r="F189" s="1666"/>
      <c r="G189" s="1882"/>
      <c r="H189" s="1882"/>
      <c r="I189" s="1669"/>
    </row>
    <row r="190" spans="1:15" s="1730" customFormat="1">
      <c r="A190" s="1595"/>
      <c r="B190" s="1666"/>
      <c r="C190" s="1666"/>
      <c r="D190" s="1666"/>
      <c r="E190" s="1666"/>
      <c r="F190" s="1666"/>
      <c r="G190" s="1882"/>
      <c r="H190" s="1882"/>
      <c r="I190" s="1669"/>
    </row>
    <row r="191" spans="1:15" s="1730" customFormat="1">
      <c r="A191" s="1595"/>
      <c r="B191" s="1666"/>
      <c r="C191" s="1666"/>
      <c r="D191" s="1666"/>
      <c r="E191" s="1666"/>
      <c r="F191" s="1666"/>
      <c r="G191" s="1882"/>
      <c r="H191" s="1882"/>
      <c r="I191" s="1669"/>
    </row>
    <row r="192" spans="1:15" s="1730" customFormat="1">
      <c r="A192" s="1595"/>
      <c r="B192" s="1666"/>
      <c r="C192" s="1666"/>
      <c r="D192" s="1666"/>
      <c r="E192" s="1666"/>
      <c r="F192" s="1666"/>
      <c r="G192" s="1882"/>
      <c r="H192" s="1882"/>
      <c r="I192" s="1669"/>
    </row>
    <row r="193" spans="1:10" s="1730" customFormat="1">
      <c r="A193" s="1595"/>
      <c r="B193" s="1666"/>
      <c r="C193" s="1666"/>
      <c r="D193" s="1666"/>
      <c r="E193" s="1666"/>
      <c r="F193" s="1666"/>
      <c r="G193" s="1882"/>
      <c r="H193" s="1882"/>
      <c r="I193" s="1669"/>
    </row>
    <row r="194" spans="1:10" s="1730" customFormat="1">
      <c r="A194" s="1595"/>
      <c r="B194" s="1666"/>
      <c r="C194" s="1666"/>
      <c r="D194" s="1666"/>
      <c r="E194" s="1666"/>
      <c r="F194" s="1666"/>
      <c r="G194" s="1882"/>
      <c r="H194" s="1882"/>
      <c r="I194" s="1669"/>
    </row>
    <row r="195" spans="1:10" s="1730" customFormat="1">
      <c r="A195" s="1595"/>
      <c r="B195" s="1666"/>
      <c r="C195" s="1666"/>
      <c r="D195" s="1666"/>
      <c r="E195" s="1666"/>
      <c r="F195" s="1666"/>
      <c r="G195" s="1882"/>
      <c r="H195" s="1882"/>
      <c r="I195" s="1669"/>
    </row>
    <row r="196" spans="1:10" s="1730" customFormat="1">
      <c r="A196" s="1595"/>
      <c r="B196" s="1666"/>
      <c r="C196" s="1666"/>
      <c r="D196" s="1666"/>
      <c r="E196" s="1666"/>
      <c r="F196" s="1666"/>
      <c r="G196" s="1882"/>
      <c r="H196" s="1882"/>
      <c r="I196" s="1669"/>
    </row>
    <row r="197" spans="1:10" s="1730" customFormat="1">
      <c r="A197" s="1595"/>
      <c r="B197" s="1666"/>
      <c r="C197" s="1666"/>
      <c r="D197" s="1666"/>
      <c r="E197" s="1666"/>
      <c r="F197" s="1666"/>
      <c r="G197" s="1882"/>
      <c r="H197" s="1882"/>
      <c r="I197" s="1669"/>
    </row>
    <row r="198" spans="1:10" s="1730" customFormat="1">
      <c r="A198" s="1595"/>
      <c r="B198" s="1666"/>
      <c r="C198" s="1666"/>
      <c r="D198" s="1666"/>
      <c r="E198" s="1666"/>
      <c r="F198" s="1666"/>
      <c r="G198" s="1882"/>
      <c r="H198" s="1882"/>
      <c r="I198" s="1669"/>
    </row>
    <row r="199" spans="1:10" s="1730" customFormat="1">
      <c r="A199" s="1595"/>
      <c r="B199" s="1666"/>
      <c r="C199" s="1666"/>
      <c r="D199" s="1666"/>
      <c r="E199" s="1666"/>
      <c r="F199" s="1666"/>
      <c r="G199" s="1882"/>
      <c r="H199" s="1882"/>
      <c r="I199" s="1669"/>
    </row>
    <row r="200" spans="1:10" s="1730" customFormat="1">
      <c r="A200" s="1595"/>
      <c r="B200" s="1666"/>
      <c r="C200" s="1666"/>
      <c r="D200" s="1666"/>
      <c r="E200" s="1666"/>
      <c r="F200" s="1666"/>
      <c r="G200" s="1882"/>
      <c r="H200" s="1882"/>
      <c r="I200" s="1669"/>
    </row>
    <row r="201" spans="1:10" s="1730" customFormat="1">
      <c r="A201" s="1595"/>
      <c r="B201" s="1666"/>
      <c r="C201" s="1666"/>
      <c r="D201" s="1666"/>
      <c r="E201" s="1666"/>
      <c r="F201" s="1666"/>
      <c r="G201" s="1882"/>
      <c r="H201" s="1882"/>
      <c r="I201" s="1669"/>
    </row>
    <row r="202" spans="1:10" s="1730" customFormat="1">
      <c r="A202" s="1595"/>
      <c r="B202" s="1666"/>
      <c r="C202" s="1666"/>
      <c r="D202" s="1666"/>
      <c r="E202" s="1666"/>
      <c r="F202" s="1666"/>
      <c r="G202" s="1882"/>
      <c r="H202" s="1882"/>
      <c r="I202" s="1669"/>
    </row>
    <row r="203" spans="1:10" s="1730" customFormat="1" ht="24" hidden="1">
      <c r="A203" s="2389"/>
      <c r="B203" s="2405"/>
      <c r="C203" s="2385"/>
      <c r="D203" s="2386"/>
      <c r="E203" s="2387"/>
      <c r="F203" s="2396"/>
      <c r="G203" s="2406" t="s">
        <v>2246</v>
      </c>
      <c r="H203" s="2267"/>
      <c r="I203" s="2407" t="s">
        <v>2247</v>
      </c>
    </row>
    <row r="204" spans="1:10" s="1730" customFormat="1" hidden="1">
      <c r="A204" s="2389"/>
      <c r="B204" s="2405"/>
      <c r="C204" s="2385"/>
      <c r="D204" s="2386"/>
      <c r="E204" s="2387"/>
      <c r="F204" s="2396"/>
      <c r="G204" s="2408" t="s">
        <v>1989</v>
      </c>
      <c r="H204" s="2267"/>
      <c r="I204" s="2408" t="s">
        <v>1916</v>
      </c>
    </row>
    <row r="205" spans="1:10" s="1730" customFormat="1" hidden="1">
      <c r="A205" s="2383">
        <v>5.2</v>
      </c>
      <c r="B205" s="2384" t="s">
        <v>2240</v>
      </c>
      <c r="C205" s="2385"/>
      <c r="D205" s="2386"/>
      <c r="E205" s="2387"/>
      <c r="F205" s="2388" t="s">
        <v>678</v>
      </c>
      <c r="G205" s="2987" t="s">
        <v>707</v>
      </c>
      <c r="H205" s="2988"/>
      <c r="I205" s="2988"/>
    </row>
    <row r="206" spans="1:10" s="1730" customFormat="1" hidden="1">
      <c r="A206" s="2383"/>
      <c r="B206" s="2384"/>
      <c r="C206" s="2389"/>
      <c r="D206" s="2386"/>
      <c r="E206" s="2386"/>
      <c r="F206" s="2386"/>
      <c r="G206" s="2390"/>
      <c r="H206" s="2390"/>
      <c r="I206" s="2391"/>
    </row>
    <row r="207" spans="1:10" s="1730" customFormat="1" hidden="1">
      <c r="A207" s="2392"/>
      <c r="B207" s="2393" t="s">
        <v>2150</v>
      </c>
      <c r="C207" s="2389"/>
      <c r="D207" s="2386"/>
      <c r="E207" s="2386"/>
      <c r="F207" s="2394" t="s">
        <v>2112</v>
      </c>
      <c r="G207" s="2395">
        <v>211357</v>
      </c>
      <c r="H207" s="2396"/>
      <c r="I207" s="2385">
        <v>242666</v>
      </c>
    </row>
    <row r="208" spans="1:10" s="1730" customFormat="1" hidden="1">
      <c r="A208" s="2389"/>
      <c r="B208" s="2397" t="s">
        <v>1859</v>
      </c>
      <c r="C208" s="2389"/>
      <c r="D208" s="2386"/>
      <c r="E208" s="2386"/>
      <c r="F208" s="2394" t="s">
        <v>2112</v>
      </c>
      <c r="G208" s="2398">
        <f>'5.2.1'!$H$17</f>
        <v>-74910</v>
      </c>
      <c r="H208" s="2399"/>
      <c r="I208" s="2400">
        <f>G208</f>
        <v>-74910</v>
      </c>
      <c r="J208" s="1730">
        <f>138787+72570</f>
        <v>211357</v>
      </c>
    </row>
    <row r="209" spans="1:12" s="1730" customFormat="1" ht="12.75" hidden="1" thickBot="1">
      <c r="A209" s="2401"/>
      <c r="B209" s="2402" t="s">
        <v>2151</v>
      </c>
      <c r="C209" s="2401"/>
      <c r="D209" s="2403"/>
      <c r="E209" s="2403"/>
      <c r="F209" s="2403"/>
      <c r="G209" s="2404">
        <f>G207+G208</f>
        <v>136447</v>
      </c>
      <c r="H209" s="2399"/>
      <c r="I209" s="2404">
        <f>I207+I208</f>
        <v>167756</v>
      </c>
    </row>
    <row r="210" spans="1:12" s="1730" customFormat="1" hidden="1">
      <c r="A210" s="1595"/>
      <c r="B210" s="1666"/>
      <c r="C210" s="1666"/>
      <c r="D210" s="1666"/>
      <c r="E210" s="1666"/>
      <c r="F210" s="1666"/>
      <c r="G210" s="1882"/>
      <c r="H210" s="1882"/>
      <c r="I210" s="1669"/>
    </row>
    <row r="211" spans="1:12" s="1730" customFormat="1">
      <c r="A211" s="1595"/>
      <c r="B211" s="1666"/>
      <c r="C211" s="1666"/>
      <c r="D211" s="1666"/>
      <c r="E211" s="1666"/>
      <c r="F211" s="1666"/>
      <c r="G211" s="1882"/>
      <c r="H211" s="1882"/>
      <c r="I211" s="1669"/>
    </row>
    <row r="212" spans="1:12" s="1730" customFormat="1">
      <c r="A212" s="1612">
        <v>7.2</v>
      </c>
      <c r="B212" s="2015" t="s">
        <v>2214</v>
      </c>
      <c r="C212" s="1666"/>
      <c r="D212" s="1666"/>
      <c r="E212" s="1666"/>
      <c r="F212" s="1666"/>
      <c r="G212" s="1882"/>
      <c r="H212" s="1882"/>
      <c r="I212" s="1669"/>
      <c r="K212" s="1917">
        <f>G179+'1-4.1'!G241</f>
        <v>235237</v>
      </c>
      <c r="L212" s="1852">
        <f>L179-513625</f>
        <v>-278388</v>
      </c>
    </row>
    <row r="213" spans="1:12" s="1730" customFormat="1">
      <c r="A213" s="1612"/>
      <c r="B213" s="2015"/>
      <c r="C213" s="1666"/>
      <c r="D213" s="1666"/>
      <c r="E213" s="1666"/>
      <c r="F213" s="1666"/>
      <c r="G213" s="1882"/>
      <c r="H213" s="1882"/>
      <c r="I213" s="1669"/>
    </row>
    <row r="214" spans="1:12" s="1730" customFormat="1">
      <c r="A214" s="1797"/>
      <c r="B214" s="1580" t="s">
        <v>862</v>
      </c>
      <c r="C214" s="1666"/>
      <c r="D214" s="1666"/>
      <c r="E214" s="1666"/>
      <c r="F214" s="1666"/>
      <c r="G214" s="1882"/>
      <c r="H214" s="1882"/>
      <c r="I214" s="1669"/>
    </row>
    <row r="215" spans="1:12" s="1915" customFormat="1">
      <c r="A215" s="2025"/>
      <c r="B215" s="2216"/>
      <c r="C215" s="2216"/>
      <c r="D215" s="2216"/>
      <c r="E215" s="2216"/>
      <c r="F215" s="2216"/>
      <c r="G215" s="1550"/>
    </row>
    <row r="216" spans="1:12" s="1915" customFormat="1">
      <c r="A216" s="2025"/>
      <c r="B216" s="2216"/>
      <c r="C216" s="2216"/>
      <c r="D216" s="2216"/>
      <c r="E216" s="2216"/>
      <c r="F216" s="2216"/>
      <c r="G216" s="1550"/>
    </row>
    <row r="217" spans="1:12" s="1915" customFormat="1">
      <c r="A217" s="2025"/>
      <c r="B217" s="2216"/>
      <c r="C217" s="2216"/>
      <c r="D217" s="2216"/>
      <c r="E217" s="2216"/>
      <c r="F217" s="2216"/>
      <c r="G217" s="1550"/>
    </row>
    <row r="218" spans="1:12" s="1915" customFormat="1">
      <c r="A218" s="2025"/>
      <c r="B218" s="2216"/>
      <c r="C218" s="2216"/>
      <c r="D218" s="2216"/>
      <c r="E218" s="2216"/>
      <c r="F218" s="2216"/>
      <c r="G218" s="1550"/>
    </row>
    <row r="219" spans="1:12" s="1915" customFormat="1">
      <c r="A219" s="2025"/>
      <c r="B219" s="2216"/>
      <c r="C219" s="2216"/>
      <c r="D219" s="2216"/>
      <c r="E219" s="2216"/>
      <c r="F219" s="2216"/>
      <c r="G219" s="1550"/>
    </row>
    <row r="220" spans="1:12" s="1915" customFormat="1">
      <c r="A220" s="2025"/>
      <c r="B220" s="2216"/>
      <c r="C220" s="2216"/>
      <c r="D220" s="2216"/>
      <c r="E220" s="2216"/>
      <c r="F220" s="2216"/>
      <c r="G220" s="1550"/>
    </row>
    <row r="221" spans="1:12" s="1915" customFormat="1">
      <c r="A221" s="2025"/>
      <c r="B221" s="2216"/>
      <c r="C221" s="2216"/>
      <c r="D221" s="2216"/>
      <c r="E221" s="2216"/>
      <c r="F221" s="2216"/>
      <c r="G221" s="1550"/>
    </row>
    <row r="222" spans="1:12" s="1915" customFormat="1">
      <c r="A222" s="2025"/>
      <c r="B222" s="2216"/>
      <c r="C222" s="2216"/>
      <c r="D222" s="2216"/>
      <c r="E222" s="2216"/>
      <c r="F222" s="2216"/>
      <c r="G222" s="1550"/>
    </row>
    <row r="223" spans="1:12" s="1915" customFormat="1">
      <c r="A223" s="2025"/>
      <c r="B223" s="2216"/>
      <c r="C223" s="2216"/>
      <c r="D223" s="2216"/>
      <c r="E223" s="2216"/>
      <c r="F223" s="2216"/>
      <c r="G223" s="1550"/>
    </row>
    <row r="224" spans="1:12" s="1915" customFormat="1">
      <c r="A224" s="2025"/>
      <c r="B224" s="2216"/>
      <c r="C224" s="2216"/>
      <c r="D224" s="2216"/>
      <c r="E224" s="2216"/>
      <c r="F224" s="2216"/>
      <c r="G224" s="1550"/>
    </row>
    <row r="225" spans="1:12" s="1915" customFormat="1">
      <c r="A225" s="2025"/>
      <c r="B225" s="2216"/>
      <c r="C225" s="2216"/>
      <c r="D225" s="2216"/>
      <c r="E225" s="2216"/>
      <c r="F225" s="2216"/>
      <c r="G225" s="1550"/>
    </row>
    <row r="226" spans="1:12" s="1915" customFormat="1">
      <c r="A226" s="2025"/>
      <c r="B226" s="2216"/>
      <c r="C226" s="2216"/>
      <c r="D226" s="2216"/>
      <c r="E226" s="2216"/>
      <c r="F226" s="2216"/>
      <c r="G226" s="1550"/>
    </row>
    <row r="227" spans="1:12" s="1915" customFormat="1">
      <c r="A227" s="2025"/>
      <c r="B227" s="2216"/>
      <c r="C227" s="2216"/>
      <c r="D227" s="2216"/>
      <c r="E227" s="2216"/>
      <c r="F227" s="2216"/>
      <c r="G227" s="1550"/>
    </row>
    <row r="228" spans="1:12" s="1915" customFormat="1">
      <c r="A228" s="2025"/>
      <c r="B228" s="2216"/>
      <c r="C228" s="2216"/>
      <c r="D228" s="2216"/>
      <c r="E228" s="2216"/>
      <c r="F228" s="2216"/>
      <c r="G228" s="1550"/>
    </row>
    <row r="229" spans="1:12" s="1915" customFormat="1">
      <c r="A229" s="2025"/>
      <c r="B229" s="2216"/>
      <c r="C229" s="2216"/>
      <c r="D229" s="2216"/>
      <c r="E229" s="2216"/>
      <c r="F229" s="2216"/>
      <c r="G229" s="1550"/>
    </row>
    <row r="230" spans="1:12" s="1915" customFormat="1">
      <c r="A230" s="2025"/>
      <c r="B230" s="2216"/>
      <c r="C230" s="2216"/>
      <c r="D230" s="2216"/>
      <c r="E230" s="2216"/>
      <c r="F230" s="2216"/>
      <c r="G230" s="1550"/>
    </row>
    <row r="231" spans="1:12" s="1915" customFormat="1">
      <c r="A231" s="2025"/>
      <c r="B231" s="2216"/>
      <c r="C231" s="2216"/>
      <c r="D231" s="2216"/>
      <c r="E231" s="2216"/>
      <c r="F231" s="2216"/>
      <c r="G231" s="1550"/>
    </row>
    <row r="232" spans="1:12" s="1915" customFormat="1">
      <c r="A232" s="2025"/>
      <c r="B232" s="2216"/>
      <c r="C232" s="2216"/>
      <c r="D232" s="2216"/>
      <c r="E232" s="2216"/>
      <c r="F232" s="2216"/>
      <c r="G232" s="1550"/>
    </row>
    <row r="233" spans="1:12" s="1915" customFormat="1">
      <c r="A233" s="2025"/>
      <c r="B233" s="2216"/>
      <c r="C233" s="2216"/>
      <c r="D233" s="2216"/>
      <c r="E233" s="2216"/>
      <c r="F233" s="2216"/>
      <c r="G233" s="1550"/>
    </row>
    <row r="234" spans="1:12" s="1915" customFormat="1">
      <c r="A234" s="2025"/>
      <c r="B234" s="2216"/>
      <c r="C234" s="2216"/>
      <c r="D234" s="2216"/>
      <c r="E234" s="2216"/>
      <c r="F234" s="2216"/>
      <c r="G234" s="1550"/>
    </row>
    <row r="235" spans="1:12" ht="24" hidden="1">
      <c r="A235" s="2389"/>
      <c r="B235" s="2405"/>
      <c r="C235" s="2385"/>
      <c r="D235" s="2386"/>
      <c r="E235" s="2387"/>
      <c r="F235" s="2396"/>
      <c r="G235" s="2406" t="s">
        <v>2215</v>
      </c>
      <c r="H235" s="2267"/>
      <c r="I235" s="2407" t="s">
        <v>1988</v>
      </c>
      <c r="L235" s="1926" t="e">
        <f>-'5.2.1'!#REF!-10251</f>
        <v>#REF!</v>
      </c>
    </row>
    <row r="236" spans="1:12" hidden="1">
      <c r="A236" s="2389"/>
      <c r="B236" s="2405"/>
      <c r="C236" s="2385"/>
      <c r="D236" s="2386"/>
      <c r="E236" s="2387"/>
      <c r="F236" s="2396"/>
      <c r="G236" s="2408" t="s">
        <v>1989</v>
      </c>
      <c r="H236" s="2267"/>
      <c r="I236" s="2408" t="s">
        <v>1916</v>
      </c>
    </row>
    <row r="237" spans="1:12" s="2267" customFormat="1" hidden="1">
      <c r="A237" s="2383">
        <f>'1-4.1'!A167+0.1</f>
        <v>7.2999999999999989</v>
      </c>
      <c r="B237" s="2384" t="s">
        <v>2241</v>
      </c>
      <c r="C237" s="2385"/>
      <c r="D237" s="2386"/>
      <c r="E237" s="2387"/>
      <c r="F237" s="2388" t="s">
        <v>678</v>
      </c>
      <c r="G237" s="2987" t="s">
        <v>707</v>
      </c>
      <c r="H237" s="2988"/>
      <c r="I237" s="2988"/>
    </row>
    <row r="238" spans="1:12" s="2267" customFormat="1" hidden="1">
      <c r="A238" s="2383"/>
      <c r="B238" s="2384"/>
      <c r="C238" s="2389"/>
      <c r="D238" s="2386"/>
      <c r="E238" s="2386"/>
      <c r="F238" s="2386"/>
      <c r="G238" s="2390"/>
      <c r="H238" s="2390"/>
      <c r="I238" s="2391"/>
    </row>
    <row r="239" spans="1:12" s="2267" customFormat="1" hidden="1">
      <c r="A239" s="2392"/>
      <c r="B239" s="2393" t="s">
        <v>2150</v>
      </c>
      <c r="C239" s="2389"/>
      <c r="D239" s="2386"/>
      <c r="E239" s="2386"/>
      <c r="F239" s="2394" t="s">
        <v>2117</v>
      </c>
      <c r="G239" s="2395">
        <v>318058</v>
      </c>
      <c r="H239" s="2396"/>
      <c r="I239" s="2385">
        <v>353780</v>
      </c>
    </row>
    <row r="240" spans="1:12" s="2267" customFormat="1" hidden="1">
      <c r="A240" s="2389"/>
      <c r="B240" s="2397" t="s">
        <v>1859</v>
      </c>
      <c r="C240" s="2389"/>
      <c r="D240" s="2386"/>
      <c r="E240" s="2386"/>
      <c r="F240" s="2409" t="s">
        <v>2117</v>
      </c>
      <c r="G240" s="2398">
        <f>I240</f>
        <v>-10251</v>
      </c>
      <c r="H240" s="2399"/>
      <c r="I240" s="2400">
        <v>-10251</v>
      </c>
    </row>
    <row r="241" spans="1:12" s="2411" customFormat="1" ht="12.75" hidden="1" thickBot="1">
      <c r="A241" s="2401"/>
      <c r="B241" s="2402" t="s">
        <v>2151</v>
      </c>
      <c r="C241" s="2401"/>
      <c r="D241" s="2403"/>
      <c r="E241" s="2403"/>
      <c r="F241" s="2403"/>
      <c r="G241" s="2404">
        <f>G239+G240</f>
        <v>307807</v>
      </c>
      <c r="H241" s="2399"/>
      <c r="I241" s="2404">
        <f>I239+I240</f>
        <v>343529</v>
      </c>
      <c r="J241" s="2410"/>
      <c r="K241" s="2410">
        <v>1437</v>
      </c>
    </row>
    <row r="242" spans="1:12">
      <c r="A242" s="1797"/>
      <c r="B242" s="1719"/>
      <c r="C242" s="1797"/>
      <c r="D242" s="1719"/>
      <c r="E242" s="1719"/>
      <c r="F242" s="1719"/>
      <c r="G242" s="1719"/>
      <c r="H242" s="1666"/>
      <c r="I242" s="1719"/>
      <c r="K242" s="1727">
        <v>1841</v>
      </c>
    </row>
    <row r="243" spans="1:12">
      <c r="A243" s="1578">
        <v>7.3</v>
      </c>
      <c r="B243" s="1579" t="s">
        <v>2262</v>
      </c>
      <c r="C243" s="1719"/>
      <c r="D243" s="1719"/>
      <c r="E243" s="1719"/>
      <c r="F243" s="1719"/>
      <c r="G243" s="1719"/>
      <c r="H243" s="1719"/>
      <c r="I243" s="1719"/>
      <c r="J243" s="1719"/>
      <c r="K243" s="1719"/>
      <c r="L243" s="1719"/>
    </row>
    <row r="244" spans="1:12">
      <c r="A244" s="1797"/>
      <c r="B244" s="1580" t="s">
        <v>862</v>
      </c>
      <c r="C244" s="1719"/>
      <c r="D244" s="1719"/>
      <c r="E244" s="1719"/>
      <c r="F244" s="1719"/>
      <c r="G244" s="1719"/>
      <c r="H244" s="1719"/>
      <c r="I244" s="1719"/>
      <c r="J244" s="1719">
        <f>307807+10251</f>
        <v>318058</v>
      </c>
      <c r="K244" s="1719"/>
      <c r="L244" s="1719"/>
    </row>
    <row r="245" spans="1:12" s="1915" customFormat="1">
      <c r="B245" s="2216"/>
      <c r="C245" s="2216"/>
      <c r="D245" s="1550"/>
    </row>
    <row r="246" spans="1:12" s="1915" customFormat="1">
      <c r="B246" s="2216"/>
      <c r="C246" s="2216"/>
      <c r="D246" s="2216"/>
      <c r="E246" s="2216"/>
      <c r="F246" s="2216"/>
      <c r="G246" s="1550"/>
    </row>
    <row r="247" spans="1:12" s="1915" customFormat="1">
      <c r="B247" s="2292"/>
      <c r="C247" s="2292"/>
      <c r="D247" s="2292"/>
      <c r="E247" s="2292"/>
      <c r="F247" s="2292"/>
      <c r="G247" s="2292"/>
      <c r="H247" s="2292"/>
      <c r="I247" s="2292"/>
      <c r="K247" s="1550"/>
    </row>
    <row r="248" spans="1:12" s="1915" customFormat="1">
      <c r="A248" s="1551"/>
      <c r="B248" s="2216"/>
      <c r="C248" s="2216"/>
      <c r="D248" s="2216"/>
      <c r="E248" s="2216"/>
      <c r="F248" s="2216"/>
      <c r="G248" s="2216"/>
      <c r="H248" s="2216"/>
      <c r="I248" s="2216"/>
      <c r="K248" s="1550"/>
    </row>
    <row r="249" spans="1:12" s="1915" customFormat="1">
      <c r="B249" s="2216"/>
      <c r="C249" s="2216"/>
      <c r="D249" s="2216"/>
      <c r="E249" s="2216"/>
      <c r="F249" s="2216"/>
      <c r="G249" s="2216"/>
      <c r="H249" s="2216"/>
      <c r="I249" s="2216"/>
      <c r="K249" s="1550"/>
    </row>
    <row r="250" spans="1:12" s="1915" customFormat="1">
      <c r="B250" s="2216"/>
      <c r="C250" s="2216"/>
      <c r="D250" s="2216"/>
      <c r="E250" s="2216"/>
      <c r="F250" s="2216"/>
      <c r="G250" s="2216"/>
      <c r="H250" s="2216"/>
      <c r="I250" s="2216"/>
      <c r="K250" s="1550"/>
    </row>
    <row r="251" spans="1:12" s="1915" customFormat="1">
      <c r="B251" s="2216"/>
      <c r="C251" s="2216"/>
      <c r="D251" s="2216"/>
      <c r="E251" s="2216"/>
      <c r="F251" s="2216"/>
      <c r="G251" s="2216"/>
      <c r="H251" s="2216"/>
      <c r="I251" s="2216"/>
      <c r="K251" s="1550"/>
    </row>
    <row r="252" spans="1:12" s="1915" customFormat="1">
      <c r="B252" s="2216"/>
      <c r="C252" s="2216"/>
      <c r="D252" s="2216"/>
      <c r="E252" s="2216"/>
      <c r="F252" s="2216"/>
      <c r="G252" s="2216"/>
      <c r="H252" s="2216"/>
      <c r="I252" s="2216"/>
      <c r="K252" s="1550"/>
    </row>
    <row r="253" spans="1:12" s="1915" customFormat="1">
      <c r="B253" s="2216"/>
      <c r="C253" s="2216"/>
      <c r="D253" s="2216"/>
      <c r="E253" s="2216"/>
      <c r="F253" s="2216"/>
      <c r="G253" s="2216"/>
      <c r="H253" s="2216"/>
      <c r="I253" s="2216"/>
      <c r="K253" s="1550"/>
    </row>
    <row r="254" spans="1:12" s="1915" customFormat="1">
      <c r="B254" s="2216"/>
      <c r="C254" s="2216"/>
      <c r="D254" s="2216"/>
      <c r="E254" s="2216"/>
      <c r="F254" s="2216"/>
      <c r="G254" s="2216"/>
      <c r="H254" s="2216"/>
      <c r="I254" s="2216"/>
      <c r="K254" s="1550"/>
    </row>
    <row r="255" spans="1:12" s="1915" customFormat="1">
      <c r="B255" s="2216"/>
      <c r="C255" s="2216"/>
      <c r="D255" s="2216"/>
      <c r="E255" s="2216"/>
      <c r="F255" s="2216"/>
      <c r="G255" s="2216"/>
      <c r="H255" s="2216"/>
      <c r="I255" s="2216"/>
      <c r="K255" s="1550"/>
    </row>
    <row r="256" spans="1:12" s="1915" customFormat="1">
      <c r="B256" s="2216"/>
      <c r="C256" s="2216"/>
      <c r="D256" s="2216"/>
      <c r="E256" s="2216"/>
      <c r="F256" s="2216"/>
      <c r="G256" s="2216"/>
      <c r="H256" s="2216"/>
      <c r="I256" s="2216"/>
      <c r="K256" s="1550"/>
    </row>
    <row r="257" spans="2:11" s="1915" customFormat="1">
      <c r="B257" s="2216"/>
      <c r="C257" s="2216"/>
      <c r="D257" s="2216"/>
      <c r="E257" s="2216"/>
      <c r="F257" s="2216"/>
      <c r="G257" s="2216"/>
      <c r="H257" s="2216"/>
      <c r="I257" s="2216"/>
      <c r="K257" s="1550"/>
    </row>
    <row r="258" spans="2:11" s="1915" customFormat="1">
      <c r="B258" s="2216"/>
      <c r="C258" s="2216"/>
      <c r="D258" s="2216"/>
      <c r="E258" s="2216"/>
      <c r="F258" s="2216"/>
      <c r="G258" s="2216"/>
      <c r="H258" s="2216"/>
      <c r="I258" s="2216"/>
      <c r="K258" s="1550"/>
    </row>
    <row r="259" spans="2:11" s="1915" customFormat="1">
      <c r="B259" s="2216"/>
      <c r="C259" s="2216"/>
      <c r="D259" s="2216"/>
      <c r="E259" s="2216"/>
      <c r="F259" s="2216"/>
      <c r="G259" s="2216"/>
      <c r="H259" s="2216"/>
      <c r="I259" s="2216"/>
      <c r="K259" s="1550"/>
    </row>
    <row r="260" spans="2:11" s="1915" customFormat="1">
      <c r="B260" s="2216"/>
      <c r="C260" s="2216"/>
      <c r="D260" s="2216"/>
      <c r="E260" s="2216"/>
      <c r="F260" s="2216"/>
      <c r="G260" s="2216"/>
      <c r="H260" s="2216"/>
      <c r="I260" s="2216"/>
      <c r="K260" s="1550"/>
    </row>
    <row r="261" spans="2:11" s="1915" customFormat="1">
      <c r="B261" s="2216"/>
      <c r="C261" s="2216"/>
      <c r="D261" s="2216"/>
      <c r="E261" s="2216"/>
      <c r="F261" s="2216"/>
      <c r="G261" s="2216"/>
      <c r="H261" s="2216"/>
      <c r="I261" s="2216"/>
      <c r="K261" s="1550"/>
    </row>
    <row r="262" spans="2:11" s="1915" customFormat="1">
      <c r="B262" s="2216"/>
      <c r="C262" s="2216"/>
      <c r="D262" s="2216"/>
      <c r="E262" s="2216"/>
      <c r="F262" s="2216"/>
      <c r="G262" s="2216"/>
      <c r="H262" s="2216"/>
      <c r="I262" s="2216"/>
      <c r="K262" s="1550"/>
    </row>
    <row r="263" spans="2:11" s="1915" customFormat="1">
      <c r="B263" s="2216"/>
      <c r="C263" s="2216"/>
      <c r="D263" s="2216"/>
      <c r="E263" s="2216"/>
      <c r="F263" s="2216"/>
      <c r="G263" s="2216"/>
      <c r="H263" s="2216"/>
      <c r="I263" s="2216"/>
      <c r="K263" s="1550"/>
    </row>
    <row r="264" spans="2:11" s="1915" customFormat="1">
      <c r="B264" s="2216"/>
      <c r="C264" s="2216"/>
      <c r="D264" s="2216"/>
      <c r="E264" s="2216"/>
      <c r="F264" s="2216"/>
      <c r="G264" s="2216"/>
      <c r="H264" s="2216"/>
      <c r="I264" s="2216"/>
      <c r="K264" s="1550"/>
    </row>
    <row r="265" spans="2:11" s="1915" customFormat="1">
      <c r="B265" s="2216"/>
      <c r="C265" s="2216"/>
      <c r="D265" s="2216"/>
      <c r="E265" s="2216"/>
      <c r="F265" s="2216"/>
      <c r="G265" s="2216"/>
      <c r="H265" s="2216"/>
      <c r="I265" s="2216"/>
      <c r="K265" s="1550"/>
    </row>
    <row r="266" spans="2:11" s="1915" customFormat="1">
      <c r="B266" s="2216"/>
      <c r="C266" s="2216"/>
      <c r="D266" s="2216"/>
      <c r="E266" s="2216"/>
      <c r="F266" s="2216"/>
      <c r="G266" s="2216"/>
      <c r="H266" s="2216"/>
      <c r="I266" s="2216"/>
      <c r="K266" s="1550">
        <v>321367</v>
      </c>
    </row>
    <row r="267" spans="2:11" s="1915" customFormat="1">
      <c r="B267" s="2216"/>
      <c r="C267" s="2216"/>
      <c r="D267" s="2216"/>
      <c r="E267" s="2216"/>
      <c r="F267" s="2216"/>
      <c r="G267" s="2216"/>
      <c r="H267" s="2216"/>
      <c r="I267" s="2216"/>
      <c r="K267" s="1550">
        <v>10251</v>
      </c>
    </row>
    <row r="268" spans="2:11" s="1915" customFormat="1">
      <c r="B268" s="2216"/>
      <c r="C268" s="2216"/>
      <c r="D268" s="2216"/>
      <c r="E268" s="2216"/>
      <c r="F268" s="2216"/>
      <c r="G268" s="2216"/>
      <c r="H268" s="2216"/>
      <c r="I268" s="2216"/>
      <c r="K268" s="1550">
        <f>SUM(K266:K267)</f>
        <v>331618</v>
      </c>
    </row>
    <row r="269" spans="2:11" s="1915" customFormat="1">
      <c r="B269" s="2216"/>
      <c r="C269" s="2216"/>
      <c r="D269" s="2216"/>
      <c r="E269" s="2216"/>
      <c r="F269" s="2216"/>
      <c r="G269" s="2216"/>
      <c r="H269" s="2216"/>
      <c r="I269" s="2216"/>
      <c r="K269" s="1550"/>
    </row>
    <row r="270" spans="2:11" s="1915" customFormat="1">
      <c r="B270" s="2216"/>
      <c r="C270" s="2216"/>
      <c r="D270" s="2216"/>
      <c r="E270" s="2216"/>
      <c r="F270" s="2216"/>
      <c r="G270" s="2216"/>
      <c r="H270" s="2216"/>
      <c r="I270" s="2216"/>
      <c r="K270" s="1550"/>
    </row>
    <row r="271" spans="2:11" s="1915" customFormat="1">
      <c r="B271" s="2216"/>
      <c r="C271" s="2216"/>
      <c r="D271" s="2216"/>
      <c r="E271" s="2216"/>
      <c r="F271" s="2216"/>
      <c r="G271" s="2216"/>
      <c r="H271" s="2216"/>
      <c r="I271" s="2216"/>
      <c r="K271" s="1550"/>
    </row>
    <row r="272" spans="2:11" s="1915" customFormat="1">
      <c r="B272" s="2216"/>
      <c r="C272" s="2216"/>
      <c r="D272" s="2216"/>
      <c r="E272" s="2216"/>
      <c r="F272" s="2216"/>
      <c r="G272" s="2216"/>
      <c r="H272" s="2216"/>
      <c r="I272" s="2216"/>
      <c r="K272" s="1550"/>
    </row>
    <row r="273" spans="1:11" s="1915" customFormat="1">
      <c r="B273" s="2216"/>
      <c r="C273" s="2216"/>
      <c r="D273" s="2216"/>
      <c r="E273" s="2216"/>
      <c r="F273" s="2216"/>
      <c r="G273" s="2216"/>
      <c r="H273" s="2216"/>
      <c r="I273" s="2216"/>
      <c r="K273" s="1550"/>
    </row>
    <row r="274" spans="1:11" s="1915" customFormat="1">
      <c r="B274" s="2216"/>
      <c r="C274" s="2216"/>
      <c r="D274" s="2216"/>
      <c r="E274" s="2216"/>
      <c r="F274" s="2216"/>
      <c r="G274" s="2216"/>
      <c r="H274" s="2216"/>
      <c r="I274" s="2216"/>
      <c r="K274" s="1550"/>
    </row>
    <row r="275" spans="1:11" s="1915" customFormat="1">
      <c r="B275" s="2216"/>
      <c r="C275" s="2216"/>
      <c r="D275" s="2216"/>
      <c r="E275" s="2216"/>
      <c r="F275" s="2216"/>
      <c r="G275" s="2216"/>
      <c r="H275" s="2216"/>
      <c r="I275" s="2216"/>
      <c r="K275" s="1550"/>
    </row>
    <row r="276" spans="1:11" s="1915" customFormat="1" ht="12" customHeight="1">
      <c r="A276" s="2793">
        <f>A243+0.1</f>
        <v>7.3999999999999995</v>
      </c>
      <c r="B276" s="2982" t="s">
        <v>1497</v>
      </c>
      <c r="C276" s="2982"/>
      <c r="D276" s="2982"/>
      <c r="E276" s="2982"/>
      <c r="F276" s="2982"/>
      <c r="G276" s="2982"/>
      <c r="H276" s="2982"/>
      <c r="I276" s="2982"/>
      <c r="K276" s="1550"/>
    </row>
    <row r="277" spans="1:11" s="1915" customFormat="1">
      <c r="B277" s="2216"/>
      <c r="C277" s="2216"/>
      <c r="D277" s="2216"/>
      <c r="E277" s="2216"/>
      <c r="F277" s="2216"/>
      <c r="G277" s="2216"/>
      <c r="H277" s="2216"/>
      <c r="I277" s="2216"/>
      <c r="K277" s="1550"/>
    </row>
    <row r="278" spans="1:11" s="1915" customFormat="1">
      <c r="B278" s="2216"/>
      <c r="C278" s="2216"/>
      <c r="D278" s="2216"/>
      <c r="E278" s="2216"/>
      <c r="F278" s="2216"/>
      <c r="G278" s="2216"/>
      <c r="H278" s="2216"/>
      <c r="I278" s="2216"/>
      <c r="K278" s="1550"/>
    </row>
    <row r="279" spans="1:11" s="1915" customFormat="1">
      <c r="B279" s="2216"/>
      <c r="C279" s="2216"/>
      <c r="D279" s="2216"/>
      <c r="E279" s="2216"/>
      <c r="F279" s="2216"/>
      <c r="G279" s="2216"/>
      <c r="H279" s="2216"/>
      <c r="I279" s="2216"/>
      <c r="K279" s="1550"/>
    </row>
    <row r="280" spans="1:11" s="1915" customFormat="1">
      <c r="B280" s="2216"/>
      <c r="C280" s="2216"/>
      <c r="D280" s="2216"/>
      <c r="E280" s="2216"/>
      <c r="F280" s="2216"/>
      <c r="G280" s="2216"/>
      <c r="H280" s="2216"/>
      <c r="I280" s="2216"/>
      <c r="K280" s="1550"/>
    </row>
    <row r="281" spans="1:11" s="1915" customFormat="1">
      <c r="B281" s="2216"/>
      <c r="C281" s="2216"/>
      <c r="D281" s="2216"/>
      <c r="E281" s="2216"/>
      <c r="F281" s="2216"/>
      <c r="G281" s="2216"/>
      <c r="H281" s="2216"/>
      <c r="I281" s="2216"/>
      <c r="K281" s="1550"/>
    </row>
    <row r="282" spans="1:11" s="1915" customFormat="1">
      <c r="B282" s="2216"/>
      <c r="C282" s="2216"/>
      <c r="D282" s="2216"/>
      <c r="E282" s="2216"/>
      <c r="F282" s="2216"/>
      <c r="G282" s="2216"/>
      <c r="H282" s="2216"/>
      <c r="I282" s="2216"/>
      <c r="K282" s="1550"/>
    </row>
    <row r="283" spans="1:11" s="1915" customFormat="1">
      <c r="B283" s="2216"/>
      <c r="C283" s="2216"/>
      <c r="D283" s="2216"/>
      <c r="E283" s="2216"/>
      <c r="F283" s="2216"/>
      <c r="G283" s="2216"/>
      <c r="H283" s="2216"/>
      <c r="I283" s="2216"/>
      <c r="K283" s="1550"/>
    </row>
    <row r="284" spans="1:11" s="1915" customFormat="1">
      <c r="B284" s="2216"/>
      <c r="C284" s="2216"/>
      <c r="D284" s="2216"/>
      <c r="E284" s="2216"/>
      <c r="F284" s="2216"/>
      <c r="G284" s="2216"/>
      <c r="H284" s="2216"/>
      <c r="I284" s="2216"/>
      <c r="K284" s="1550"/>
    </row>
    <row r="285" spans="1:11" s="1915" customFormat="1">
      <c r="B285" s="2216"/>
      <c r="C285" s="2216"/>
      <c r="D285" s="2216"/>
      <c r="E285" s="2216"/>
      <c r="F285" s="2216"/>
      <c r="G285" s="2216"/>
      <c r="H285" s="2216"/>
      <c r="I285" s="2216"/>
      <c r="K285" s="1550"/>
    </row>
    <row r="286" spans="1:11" s="1915" customFormat="1">
      <c r="B286" s="2216"/>
      <c r="C286" s="2216"/>
      <c r="D286" s="2216"/>
      <c r="E286" s="2216"/>
      <c r="F286" s="2216"/>
      <c r="G286" s="2216"/>
      <c r="H286" s="2216"/>
      <c r="I286" s="2216"/>
      <c r="K286" s="1550"/>
    </row>
    <row r="287" spans="1:11" s="1915" customFormat="1">
      <c r="B287" s="2216"/>
      <c r="C287" s="2216"/>
      <c r="D287" s="2216"/>
      <c r="E287" s="2216"/>
      <c r="F287" s="2216"/>
      <c r="G287" s="2216"/>
      <c r="H287" s="2216"/>
      <c r="I287" s="2216"/>
      <c r="K287" s="1550"/>
    </row>
    <row r="288" spans="1:11" s="1915" customFormat="1">
      <c r="B288" s="2216"/>
      <c r="C288" s="2216"/>
      <c r="D288" s="2216"/>
      <c r="E288" s="2216"/>
      <c r="F288" s="2216"/>
      <c r="G288" s="2216"/>
      <c r="H288" s="2216"/>
      <c r="I288" s="2216"/>
      <c r="K288" s="1550"/>
    </row>
    <row r="289" spans="2:11" s="1915" customFormat="1">
      <c r="B289" s="2216"/>
      <c r="C289" s="2216"/>
      <c r="D289" s="2216"/>
      <c r="E289" s="2216"/>
      <c r="F289" s="2216"/>
      <c r="G289" s="2216"/>
      <c r="H289" s="2216"/>
      <c r="I289" s="2216"/>
      <c r="K289" s="1550"/>
    </row>
    <row r="290" spans="2:11" s="1915" customFormat="1">
      <c r="B290" s="2216"/>
      <c r="C290" s="2216"/>
      <c r="D290" s="2216"/>
      <c r="E290" s="2216"/>
      <c r="F290" s="2216"/>
      <c r="G290" s="2216"/>
      <c r="H290" s="2216"/>
      <c r="I290" s="2216"/>
      <c r="K290" s="1550"/>
    </row>
    <row r="291" spans="2:11" s="1915" customFormat="1">
      <c r="B291" s="2216"/>
      <c r="C291" s="2216"/>
      <c r="D291" s="2216"/>
      <c r="E291" s="2216"/>
      <c r="F291" s="2216"/>
      <c r="G291" s="2216"/>
      <c r="H291" s="2216"/>
      <c r="I291" s="2216"/>
      <c r="K291" s="1550"/>
    </row>
    <row r="292" spans="2:11" s="1915" customFormat="1">
      <c r="B292" s="2216"/>
      <c r="C292" s="2216"/>
      <c r="D292" s="2216"/>
      <c r="E292" s="2216"/>
      <c r="F292" s="2216"/>
      <c r="G292" s="2216"/>
      <c r="H292" s="2216"/>
      <c r="I292" s="2216"/>
      <c r="K292" s="1550"/>
    </row>
    <row r="293" spans="2:11" s="1915" customFormat="1">
      <c r="B293" s="2216"/>
      <c r="C293" s="2216"/>
      <c r="D293" s="2216"/>
      <c r="E293" s="2216"/>
      <c r="F293" s="2216"/>
      <c r="G293" s="2216"/>
      <c r="H293" s="2216"/>
      <c r="I293" s="2216"/>
      <c r="K293" s="1550"/>
    </row>
    <row r="294" spans="2:11" s="1915" customFormat="1">
      <c r="B294" s="2216"/>
      <c r="C294" s="2216"/>
      <c r="D294" s="2216"/>
      <c r="E294" s="2216"/>
      <c r="F294" s="2216"/>
      <c r="G294" s="2216"/>
      <c r="H294" s="2216"/>
      <c r="I294" s="2216"/>
      <c r="K294" s="1550"/>
    </row>
    <row r="295" spans="2:11" s="1915" customFormat="1">
      <c r="B295" s="2216"/>
      <c r="C295" s="2216"/>
      <c r="D295" s="2216"/>
      <c r="E295" s="2216"/>
      <c r="F295" s="2216"/>
      <c r="G295" s="2216"/>
      <c r="H295" s="2216"/>
      <c r="I295" s="2216"/>
      <c r="K295" s="1550"/>
    </row>
    <row r="296" spans="2:11" s="1915" customFormat="1">
      <c r="B296" s="2216"/>
      <c r="C296" s="2216"/>
      <c r="D296" s="2216"/>
      <c r="E296" s="2216"/>
      <c r="F296" s="2216"/>
      <c r="G296" s="2216"/>
      <c r="H296" s="2216"/>
      <c r="I296" s="2216"/>
      <c r="K296" s="1550"/>
    </row>
    <row r="297" spans="2:11" s="1915" customFormat="1">
      <c r="B297" s="2216"/>
      <c r="C297" s="2216"/>
      <c r="D297" s="2216"/>
      <c r="E297" s="2216"/>
      <c r="F297" s="2216"/>
      <c r="G297" s="2216"/>
      <c r="H297" s="2216"/>
      <c r="I297" s="2216"/>
      <c r="K297" s="1550"/>
    </row>
    <row r="298" spans="2:11" s="1915" customFormat="1">
      <c r="B298" s="2216"/>
      <c r="C298" s="2216"/>
      <c r="D298" s="2216"/>
      <c r="E298" s="2216"/>
      <c r="F298" s="2216"/>
      <c r="G298" s="2216"/>
      <c r="H298" s="2216"/>
      <c r="I298" s="2216"/>
      <c r="K298" s="1550"/>
    </row>
    <row r="299" spans="2:11" s="1915" customFormat="1">
      <c r="B299" s="2216"/>
      <c r="C299" s="2216"/>
      <c r="D299" s="2216"/>
      <c r="E299" s="2216"/>
      <c r="F299" s="2216"/>
      <c r="G299" s="2216"/>
      <c r="H299" s="2216"/>
      <c r="I299" s="2216"/>
      <c r="K299" s="1550"/>
    </row>
    <row r="300" spans="2:11" s="1915" customFormat="1">
      <c r="B300" s="2216"/>
      <c r="C300" s="2216"/>
      <c r="D300" s="2216"/>
      <c r="E300" s="2216"/>
      <c r="F300" s="2216"/>
      <c r="G300" s="2216"/>
      <c r="H300" s="2216"/>
      <c r="I300" s="2216"/>
      <c r="K300" s="1550"/>
    </row>
    <row r="301" spans="2:11" s="1915" customFormat="1">
      <c r="B301" s="2216"/>
      <c r="C301" s="2216"/>
      <c r="D301" s="2216"/>
      <c r="E301" s="2216"/>
      <c r="F301" s="2216"/>
      <c r="G301" s="2216"/>
      <c r="H301" s="2216"/>
      <c r="I301" s="2216"/>
      <c r="K301" s="1550"/>
    </row>
    <row r="302" spans="2:11" s="1915" customFormat="1">
      <c r="B302" s="2216"/>
      <c r="C302" s="2216"/>
      <c r="D302" s="2216"/>
      <c r="E302" s="2216"/>
      <c r="F302" s="2216"/>
      <c r="G302" s="2216"/>
      <c r="H302" s="2216"/>
      <c r="I302" s="2216"/>
      <c r="K302" s="1550"/>
    </row>
    <row r="303" spans="2:11" s="1915" customFormat="1">
      <c r="B303" s="2216"/>
      <c r="C303" s="2216"/>
      <c r="D303" s="2216"/>
      <c r="E303" s="2216"/>
      <c r="F303" s="2216"/>
      <c r="G303" s="2216"/>
      <c r="H303" s="2216"/>
      <c r="I303" s="2216"/>
      <c r="K303" s="1550"/>
    </row>
    <row r="304" spans="2:11" s="1915" customFormat="1">
      <c r="B304" s="2216"/>
      <c r="C304" s="2216"/>
      <c r="D304" s="2216"/>
      <c r="E304" s="2216"/>
      <c r="F304" s="2216"/>
      <c r="G304" s="2216"/>
      <c r="H304" s="2216"/>
      <c r="I304" s="2216"/>
      <c r="K304" s="1550"/>
    </row>
    <row r="305" spans="2:11" s="1915" customFormat="1">
      <c r="B305" s="2216"/>
      <c r="C305" s="2216"/>
      <c r="D305" s="2216"/>
      <c r="E305" s="2216"/>
      <c r="F305" s="2216"/>
      <c r="G305" s="2216"/>
      <c r="H305" s="2216"/>
      <c r="I305" s="2216"/>
      <c r="K305" s="1550"/>
    </row>
    <row r="306" spans="2:11" s="1915" customFormat="1">
      <c r="B306" s="2216"/>
      <c r="C306" s="2216"/>
      <c r="D306" s="2216"/>
      <c r="E306" s="2216"/>
      <c r="F306" s="2216"/>
      <c r="G306" s="2216"/>
      <c r="H306" s="2216"/>
      <c r="I306" s="2216"/>
      <c r="K306" s="1550"/>
    </row>
    <row r="307" spans="2:11" s="1915" customFormat="1">
      <c r="B307" s="2216"/>
      <c r="C307" s="2216"/>
      <c r="D307" s="2216"/>
      <c r="E307" s="2216"/>
      <c r="F307" s="2216"/>
      <c r="G307" s="2216"/>
      <c r="H307" s="2216"/>
      <c r="I307" s="2216"/>
      <c r="K307" s="1550"/>
    </row>
    <row r="308" spans="2:11" s="1915" customFormat="1">
      <c r="B308" s="2216"/>
      <c r="C308" s="2216"/>
      <c r="D308" s="2216"/>
      <c r="E308" s="2216"/>
      <c r="F308" s="2216"/>
      <c r="G308" s="2216"/>
      <c r="H308" s="2216"/>
      <c r="I308" s="2216"/>
      <c r="K308" s="1550"/>
    </row>
    <row r="309" spans="2:11" s="1915" customFormat="1">
      <c r="B309" s="2216"/>
      <c r="C309" s="2216"/>
      <c r="D309" s="2216"/>
      <c r="E309" s="2216"/>
      <c r="F309" s="2216"/>
      <c r="G309" s="2216"/>
      <c r="H309" s="2216"/>
      <c r="I309" s="2216"/>
      <c r="K309" s="1550"/>
    </row>
    <row r="310" spans="2:11" s="1915" customFormat="1">
      <c r="B310" s="2216"/>
      <c r="C310" s="2216"/>
      <c r="D310" s="2216"/>
      <c r="E310" s="2216"/>
      <c r="F310" s="2216"/>
      <c r="G310" s="2216"/>
      <c r="H310" s="2216"/>
      <c r="I310" s="2216"/>
      <c r="K310" s="1550"/>
    </row>
    <row r="311" spans="2:11" s="1915" customFormat="1">
      <c r="B311" s="2216"/>
      <c r="C311" s="2216"/>
      <c r="D311" s="2216"/>
      <c r="E311" s="2216"/>
      <c r="F311" s="2216"/>
      <c r="G311" s="2216"/>
      <c r="H311" s="2216"/>
      <c r="I311" s="2216"/>
      <c r="K311" s="1550"/>
    </row>
    <row r="312" spans="2:11" s="1915" customFormat="1">
      <c r="B312" s="2216"/>
      <c r="C312" s="2216"/>
      <c r="D312" s="2216"/>
      <c r="E312" s="2216"/>
      <c r="F312" s="2216"/>
      <c r="G312" s="2216"/>
      <c r="H312" s="2216"/>
      <c r="I312" s="2216"/>
      <c r="K312" s="1550"/>
    </row>
    <row r="313" spans="2:11" s="1915" customFormat="1">
      <c r="B313" s="2216"/>
      <c r="C313" s="2216"/>
      <c r="D313" s="2216"/>
      <c r="E313" s="2216"/>
      <c r="F313" s="2216"/>
      <c r="G313" s="2216"/>
      <c r="H313" s="2216"/>
      <c r="I313" s="2216"/>
      <c r="K313" s="1550"/>
    </row>
    <row r="314" spans="2:11" s="1915" customFormat="1">
      <c r="B314" s="2216"/>
      <c r="C314" s="2216"/>
      <c r="D314" s="2216"/>
      <c r="E314" s="2216"/>
      <c r="F314" s="2216"/>
      <c r="G314" s="2216"/>
      <c r="H314" s="2216"/>
      <c r="I314" s="2216"/>
      <c r="K314" s="1550"/>
    </row>
    <row r="315" spans="2:11" s="1915" customFormat="1">
      <c r="B315" s="2216"/>
      <c r="C315" s="2216"/>
      <c r="D315" s="2216"/>
      <c r="E315" s="2216"/>
      <c r="F315" s="2216"/>
      <c r="G315" s="2216"/>
      <c r="H315" s="2216"/>
      <c r="I315" s="2216"/>
      <c r="K315" s="1550"/>
    </row>
    <row r="316" spans="2:11" s="1915" customFormat="1">
      <c r="B316" s="2216"/>
      <c r="C316" s="2216"/>
      <c r="D316" s="2216"/>
      <c r="E316" s="2216"/>
      <c r="F316" s="2216"/>
      <c r="G316" s="2216"/>
      <c r="H316" s="2216"/>
      <c r="I316" s="2216"/>
      <c r="K316" s="1550"/>
    </row>
    <row r="317" spans="2:11" s="1915" customFormat="1">
      <c r="B317" s="2216"/>
      <c r="C317" s="2216"/>
      <c r="D317" s="2216"/>
      <c r="E317" s="2216"/>
      <c r="F317" s="2216"/>
      <c r="G317" s="2216"/>
      <c r="H317" s="2216"/>
      <c r="I317" s="2216"/>
      <c r="K317" s="1550"/>
    </row>
    <row r="318" spans="2:11" s="1915" customFormat="1">
      <c r="B318" s="2216"/>
      <c r="C318" s="2216"/>
      <c r="D318" s="2216"/>
      <c r="E318" s="2216"/>
      <c r="F318" s="2216"/>
      <c r="G318" s="2216"/>
      <c r="H318" s="2216"/>
      <c r="I318" s="2216"/>
      <c r="K318" s="1550"/>
    </row>
    <row r="319" spans="2:11" s="1915" customFormat="1">
      <c r="B319" s="2216"/>
      <c r="C319" s="2216"/>
      <c r="D319" s="2216"/>
      <c r="E319" s="2216"/>
      <c r="F319" s="2216"/>
      <c r="G319" s="2216"/>
      <c r="H319" s="2216"/>
      <c r="I319" s="2216"/>
      <c r="K319" s="1550"/>
    </row>
    <row r="320" spans="2:11" s="1915" customFormat="1">
      <c r="B320" s="2216"/>
      <c r="C320" s="2216"/>
      <c r="D320" s="2216"/>
      <c r="E320" s="2216"/>
      <c r="F320" s="2216"/>
      <c r="G320" s="2216"/>
      <c r="H320" s="2216"/>
      <c r="I320" s="2216"/>
      <c r="K320" s="1550"/>
    </row>
    <row r="321" spans="2:11" s="1915" customFormat="1">
      <c r="B321" s="2216"/>
      <c r="C321" s="2216"/>
      <c r="D321" s="2216"/>
      <c r="E321" s="2216"/>
      <c r="F321" s="2216"/>
      <c r="G321" s="2216"/>
      <c r="H321" s="2216"/>
      <c r="I321" s="2216"/>
      <c r="K321" s="1550"/>
    </row>
    <row r="322" spans="2:11" s="1915" customFormat="1">
      <c r="B322" s="2216"/>
      <c r="C322" s="2216"/>
      <c r="D322" s="2216"/>
      <c r="E322" s="2216"/>
      <c r="F322" s="2216"/>
      <c r="G322" s="2216"/>
      <c r="H322" s="2216"/>
      <c r="I322" s="2216"/>
      <c r="K322" s="1550"/>
    </row>
    <row r="323" spans="2:11" s="1915" customFormat="1">
      <c r="B323" s="2216"/>
      <c r="C323" s="2216"/>
      <c r="D323" s="2216"/>
      <c r="E323" s="2216"/>
      <c r="F323" s="2216"/>
      <c r="G323" s="2216"/>
      <c r="H323" s="2216"/>
      <c r="I323" s="2216"/>
      <c r="K323" s="1550"/>
    </row>
    <row r="324" spans="2:11" s="1915" customFormat="1">
      <c r="B324" s="2216"/>
      <c r="C324" s="2216"/>
      <c r="D324" s="2216"/>
      <c r="E324" s="2216"/>
      <c r="F324" s="2216"/>
      <c r="G324" s="2216"/>
      <c r="H324" s="2216"/>
      <c r="I324" s="2216"/>
      <c r="K324" s="1550"/>
    </row>
    <row r="325" spans="2:11" s="1915" customFormat="1">
      <c r="B325" s="2216"/>
      <c r="C325" s="2216"/>
      <c r="D325" s="2216"/>
      <c r="E325" s="2216"/>
      <c r="F325" s="2216"/>
      <c r="G325" s="2216"/>
      <c r="H325" s="2216"/>
      <c r="I325" s="2216"/>
      <c r="K325" s="1550"/>
    </row>
    <row r="326" spans="2:11" s="1915" customFormat="1">
      <c r="B326" s="2216"/>
      <c r="C326" s="2216"/>
      <c r="D326" s="2216"/>
      <c r="E326" s="2216"/>
      <c r="F326" s="2216"/>
      <c r="G326" s="2216"/>
      <c r="H326" s="2216"/>
      <c r="I326" s="2216"/>
      <c r="K326" s="1550"/>
    </row>
    <row r="327" spans="2:11" s="1915" customFormat="1">
      <c r="B327" s="2216"/>
      <c r="C327" s="2216"/>
      <c r="D327" s="2216"/>
      <c r="E327" s="2216"/>
      <c r="F327" s="2216"/>
      <c r="G327" s="2216"/>
      <c r="H327" s="2216"/>
      <c r="I327" s="2216"/>
      <c r="K327" s="1550"/>
    </row>
    <row r="328" spans="2:11" s="1915" customFormat="1">
      <c r="B328" s="2216"/>
      <c r="C328" s="2216"/>
      <c r="D328" s="2216"/>
      <c r="E328" s="2216"/>
      <c r="F328" s="2216"/>
      <c r="G328" s="2216"/>
      <c r="H328" s="2216"/>
      <c r="I328" s="2216"/>
      <c r="K328" s="1550"/>
    </row>
    <row r="329" spans="2:11" s="1915" customFormat="1">
      <c r="B329" s="2216"/>
      <c r="C329" s="2216"/>
      <c r="D329" s="2216"/>
      <c r="E329" s="2216"/>
      <c r="F329" s="2216"/>
      <c r="G329" s="2216"/>
      <c r="H329" s="2216"/>
      <c r="I329" s="2216"/>
      <c r="K329" s="1550"/>
    </row>
    <row r="330" spans="2:11" s="1915" customFormat="1">
      <c r="B330" s="2216"/>
      <c r="C330" s="2216"/>
      <c r="D330" s="2216"/>
      <c r="E330" s="2216"/>
      <c r="F330" s="2216"/>
      <c r="G330" s="2216"/>
      <c r="H330" s="2216"/>
      <c r="I330" s="2216"/>
      <c r="K330" s="1550"/>
    </row>
    <row r="331" spans="2:11" s="1915" customFormat="1">
      <c r="B331" s="2216"/>
      <c r="C331" s="2216"/>
      <c r="D331" s="2216"/>
      <c r="E331" s="2216"/>
      <c r="F331" s="2216"/>
      <c r="G331" s="2216"/>
      <c r="H331" s="2216"/>
      <c r="I331" s="2216"/>
      <c r="K331" s="1550"/>
    </row>
    <row r="332" spans="2:11" s="1915" customFormat="1">
      <c r="B332" s="2216"/>
      <c r="C332" s="2216"/>
      <c r="D332" s="2216"/>
      <c r="E332" s="2216"/>
      <c r="F332" s="2216"/>
      <c r="G332" s="2216"/>
      <c r="H332" s="2216"/>
      <c r="I332" s="2216"/>
      <c r="K332" s="1550"/>
    </row>
    <row r="333" spans="2:11" s="1915" customFormat="1">
      <c r="B333" s="2216"/>
      <c r="C333" s="2216"/>
      <c r="D333" s="2216"/>
      <c r="E333" s="2216"/>
      <c r="F333" s="2216"/>
      <c r="G333" s="2216"/>
      <c r="H333" s="2216"/>
      <c r="I333" s="2216"/>
      <c r="K333" s="1550"/>
    </row>
    <row r="334" spans="2:11" s="1915" customFormat="1">
      <c r="B334" s="2216"/>
      <c r="C334" s="2216"/>
      <c r="D334" s="2216"/>
      <c r="E334" s="2216"/>
      <c r="F334" s="2216"/>
      <c r="G334" s="2216"/>
      <c r="H334" s="2216"/>
      <c r="I334" s="2216"/>
      <c r="K334" s="1550"/>
    </row>
    <row r="335" spans="2:11" s="1915" customFormat="1">
      <c r="B335" s="2216"/>
      <c r="C335" s="2216"/>
      <c r="D335" s="2216"/>
      <c r="E335" s="2216"/>
      <c r="F335" s="2216"/>
      <c r="G335" s="2216"/>
      <c r="H335" s="2216"/>
      <c r="I335" s="2216"/>
      <c r="K335" s="1550"/>
    </row>
    <row r="336" spans="2:11" s="1915" customFormat="1">
      <c r="B336" s="2216"/>
      <c r="C336" s="2216"/>
      <c r="D336" s="2216"/>
      <c r="E336" s="2216"/>
      <c r="F336" s="2216"/>
      <c r="G336" s="2216"/>
      <c r="H336" s="2216"/>
      <c r="I336" s="2216"/>
      <c r="K336" s="1550"/>
    </row>
    <row r="337" spans="1:13" s="1915" customFormat="1">
      <c r="B337" s="2216"/>
      <c r="C337" s="2216"/>
      <c r="D337" s="2216"/>
      <c r="E337" s="2216"/>
      <c r="F337" s="2216"/>
      <c r="G337" s="2216"/>
      <c r="H337" s="2216"/>
      <c r="I337" s="2216"/>
      <c r="K337" s="1550"/>
    </row>
    <row r="338" spans="1:13" s="1915" customFormat="1" ht="15">
      <c r="A338" s="2792"/>
      <c r="B338" s="2746" t="s">
        <v>2382</v>
      </c>
      <c r="C338" s="1810"/>
      <c r="D338" s="1623"/>
      <c r="E338" s="1623"/>
      <c r="F338" s="1623"/>
      <c r="G338" s="1623"/>
      <c r="H338" s="2712"/>
      <c r="I338" s="2712"/>
      <c r="J338" s="2712"/>
      <c r="K338" s="2712"/>
      <c r="L338" s="2712"/>
      <c r="M338" s="2738"/>
    </row>
    <row r="339" spans="1:13" s="1915" customFormat="1">
      <c r="A339" s="2792"/>
      <c r="B339" s="1761"/>
      <c r="C339" s="1685"/>
      <c r="D339" s="2792"/>
      <c r="E339" s="2792"/>
      <c r="F339" s="2792"/>
      <c r="G339" s="2792"/>
      <c r="H339" s="2419"/>
      <c r="I339" s="2419"/>
      <c r="J339" s="2419"/>
      <c r="K339" s="2419"/>
      <c r="L339" s="2419"/>
      <c r="M339" s="2738"/>
    </row>
    <row r="340" spans="1:13" s="1915" customFormat="1">
      <c r="A340" s="2792"/>
      <c r="B340" s="2792"/>
      <c r="C340" s="1685"/>
      <c r="D340" s="2792"/>
      <c r="E340" s="2792"/>
      <c r="F340" s="2792"/>
      <c r="G340" s="2792"/>
      <c r="H340" s="2419"/>
      <c r="I340" s="2419"/>
      <c r="J340" s="2419"/>
      <c r="K340" s="2419"/>
      <c r="L340" s="2419"/>
      <c r="M340" s="2738"/>
    </row>
    <row r="341" spans="1:13" s="1915" customFormat="1" ht="12" customHeight="1">
      <c r="A341" s="1743" t="s">
        <v>2383</v>
      </c>
      <c r="B341" s="2983" t="s">
        <v>2384</v>
      </c>
      <c r="C341" s="2983"/>
      <c r="D341" s="2983"/>
      <c r="E341" s="2983"/>
      <c r="F341" s="2983"/>
      <c r="G341" s="2983"/>
      <c r="H341" s="2983"/>
      <c r="I341" s="2983"/>
      <c r="J341" s="2983"/>
      <c r="K341" s="2983"/>
      <c r="L341" s="2983"/>
      <c r="M341" s="2983"/>
    </row>
    <row r="342" spans="1:13" s="1915" customFormat="1">
      <c r="A342" s="2792"/>
      <c r="B342" s="2983"/>
      <c r="C342" s="2983"/>
      <c r="D342" s="2983"/>
      <c r="E342" s="2983"/>
      <c r="F342" s="2983"/>
      <c r="G342" s="2983"/>
      <c r="H342" s="2983"/>
      <c r="I342" s="2983"/>
      <c r="J342" s="2983"/>
      <c r="K342" s="2983"/>
      <c r="L342" s="2983"/>
      <c r="M342" s="2983"/>
    </row>
    <row r="343" spans="1:13" s="1915" customFormat="1">
      <c r="A343" s="2792"/>
      <c r="B343" s="2983"/>
      <c r="C343" s="2983"/>
      <c r="D343" s="2983"/>
      <c r="E343" s="2983"/>
      <c r="F343" s="2983"/>
      <c r="G343" s="2983"/>
      <c r="H343" s="2983"/>
      <c r="I343" s="2983"/>
      <c r="J343" s="2983"/>
      <c r="K343" s="2983"/>
      <c r="L343" s="2983"/>
      <c r="M343" s="2983"/>
    </row>
    <row r="344" spans="1:13" s="1915" customFormat="1">
      <c r="B344" s="2216"/>
      <c r="C344" s="2216"/>
      <c r="D344" s="2216"/>
      <c r="E344" s="2216"/>
      <c r="F344" s="2216"/>
      <c r="G344" s="2216"/>
      <c r="H344" s="2216"/>
      <c r="I344" s="2216"/>
      <c r="K344" s="1550"/>
    </row>
    <row r="345" spans="1:13" s="1915" customFormat="1">
      <c r="B345" s="2216"/>
      <c r="C345" s="2216"/>
      <c r="D345" s="2216"/>
      <c r="E345" s="2216"/>
      <c r="F345" s="2216"/>
      <c r="G345" s="2216"/>
      <c r="H345" s="2216"/>
      <c r="I345" s="2216"/>
      <c r="K345" s="1550"/>
    </row>
    <row r="346" spans="1:13" s="1915" customFormat="1" hidden="1">
      <c r="B346" s="2216"/>
      <c r="C346" s="2216"/>
      <c r="D346" s="2216"/>
      <c r="E346" s="2216"/>
      <c r="F346" s="2216"/>
      <c r="G346" s="2216"/>
      <c r="H346" s="2216"/>
      <c r="I346" s="2216"/>
      <c r="K346" s="1550"/>
    </row>
    <row r="347" spans="1:13" hidden="1">
      <c r="A347" s="2102">
        <v>5.4</v>
      </c>
      <c r="B347" s="2103" t="s">
        <v>1941</v>
      </c>
      <c r="C347" s="2389"/>
      <c r="D347" s="2412"/>
      <c r="E347" s="2412"/>
      <c r="F347" s="2412"/>
      <c r="G347" s="2413"/>
      <c r="H347" s="2413"/>
      <c r="I347" s="2413"/>
      <c r="J347" s="1589"/>
      <c r="K347" s="1589"/>
      <c r="L347" s="1589"/>
      <c r="M347" s="1781"/>
    </row>
    <row r="348" spans="1:13" s="1915" customFormat="1" hidden="1">
      <c r="A348" s="2414"/>
      <c r="B348" s="2415"/>
      <c r="C348" s="2415"/>
      <c r="D348" s="2415"/>
      <c r="E348" s="2415"/>
      <c r="F348" s="2415"/>
      <c r="G348" s="2415"/>
      <c r="H348" s="2415"/>
      <c r="I348" s="2415"/>
      <c r="K348" s="1550"/>
    </row>
    <row r="349" spans="1:13" s="1915" customFormat="1" hidden="1">
      <c r="A349" s="2414"/>
      <c r="B349" s="2415"/>
      <c r="C349" s="2415"/>
      <c r="D349" s="2415"/>
      <c r="E349" s="2415"/>
      <c r="F349" s="2415"/>
      <c r="G349" s="2415"/>
      <c r="H349" s="2415"/>
      <c r="I349" s="2415"/>
      <c r="K349" s="1550"/>
    </row>
    <row r="350" spans="1:13" s="1915" customFormat="1" hidden="1">
      <c r="A350" s="2414"/>
      <c r="B350" s="2415"/>
      <c r="C350" s="2415"/>
      <c r="D350" s="2415"/>
      <c r="E350" s="2415"/>
      <c r="F350" s="2415"/>
      <c r="G350" s="2415"/>
      <c r="H350" s="2415"/>
      <c r="I350" s="2415"/>
      <c r="K350" s="1550"/>
    </row>
    <row r="351" spans="1:13" s="1915" customFormat="1" hidden="1">
      <c r="A351" s="2414"/>
      <c r="B351" s="2415"/>
      <c r="C351" s="2415"/>
      <c r="D351" s="2415"/>
      <c r="E351" s="2415"/>
      <c r="F351" s="2415"/>
      <c r="G351" s="2415"/>
      <c r="H351" s="2415"/>
      <c r="I351" s="2415"/>
      <c r="K351" s="1550"/>
    </row>
    <row r="352" spans="1:13" s="1915" customFormat="1" hidden="1">
      <c r="A352" s="2414"/>
      <c r="B352" s="2415"/>
      <c r="C352" s="2415"/>
      <c r="D352" s="2415"/>
      <c r="E352" s="2415"/>
      <c r="F352" s="2415"/>
      <c r="G352" s="2415"/>
      <c r="H352" s="2415"/>
      <c r="I352" s="2415"/>
      <c r="K352" s="1550"/>
    </row>
    <row r="353" spans="1:11" s="1915" customFormat="1" hidden="1">
      <c r="A353" s="2414"/>
      <c r="B353" s="2415"/>
      <c r="C353" s="2415"/>
      <c r="D353" s="2415"/>
      <c r="E353" s="2415"/>
      <c r="F353" s="2415"/>
      <c r="G353" s="2415"/>
      <c r="H353" s="2415"/>
      <c r="I353" s="2415"/>
      <c r="K353" s="1550"/>
    </row>
    <row r="354" spans="1:11" s="1915" customFormat="1" hidden="1">
      <c r="A354" s="2414"/>
      <c r="B354" s="2415"/>
      <c r="C354" s="2415"/>
      <c r="D354" s="2415"/>
      <c r="E354" s="2415"/>
      <c r="F354" s="2415"/>
      <c r="G354" s="2415"/>
      <c r="H354" s="2415"/>
      <c r="I354" s="2415"/>
      <c r="K354" s="1550"/>
    </row>
    <row r="355" spans="1:11" s="1915" customFormat="1" hidden="1">
      <c r="A355" s="2414"/>
      <c r="B355" s="2415"/>
      <c r="C355" s="2415"/>
      <c r="D355" s="2415"/>
      <c r="E355" s="2415"/>
      <c r="F355" s="2415"/>
      <c r="G355" s="2415"/>
      <c r="H355" s="2415"/>
      <c r="I355" s="2415"/>
      <c r="K355" s="1550"/>
    </row>
    <row r="356" spans="1:11" s="1915" customFormat="1" hidden="1">
      <c r="A356" s="2414"/>
      <c r="B356" s="2415"/>
      <c r="C356" s="2415"/>
      <c r="D356" s="2415"/>
      <c r="E356" s="2415"/>
      <c r="F356" s="2415"/>
      <c r="G356" s="2415"/>
      <c r="H356" s="2415"/>
      <c r="I356" s="2415"/>
      <c r="K356" s="1550"/>
    </row>
    <row r="357" spans="1:11" s="1915" customFormat="1" hidden="1">
      <c r="A357" s="2414"/>
      <c r="B357" s="2415"/>
      <c r="C357" s="2415"/>
      <c r="D357" s="2415"/>
      <c r="E357" s="2415"/>
      <c r="F357" s="2415"/>
      <c r="G357" s="2415"/>
      <c r="H357" s="2415"/>
      <c r="I357" s="2415"/>
      <c r="K357" s="1550"/>
    </row>
    <row r="358" spans="1:11" s="1915" customFormat="1" hidden="1">
      <c r="A358" s="2414"/>
      <c r="B358" s="2415"/>
      <c r="C358" s="2415"/>
      <c r="D358" s="2415"/>
      <c r="E358" s="2415"/>
      <c r="F358" s="2415"/>
      <c r="G358" s="2415"/>
      <c r="H358" s="2415"/>
      <c r="I358" s="2415"/>
      <c r="K358" s="1550"/>
    </row>
    <row r="359" spans="1:11" s="1915" customFormat="1" hidden="1">
      <c r="A359" s="2414"/>
      <c r="B359" s="2415"/>
      <c r="C359" s="2415"/>
      <c r="D359" s="2415"/>
      <c r="E359" s="2415"/>
      <c r="F359" s="2415"/>
      <c r="G359" s="2415"/>
      <c r="H359" s="2415"/>
      <c r="I359" s="2415"/>
      <c r="K359" s="1550"/>
    </row>
    <row r="360" spans="1:11" s="1915" customFormat="1" hidden="1">
      <c r="A360" s="2414"/>
      <c r="B360" s="2415"/>
      <c r="C360" s="2415"/>
      <c r="D360" s="2415"/>
      <c r="E360" s="2415"/>
      <c r="F360" s="2415"/>
      <c r="G360" s="2415"/>
      <c r="H360" s="2415"/>
      <c r="I360" s="2415"/>
      <c r="K360" s="1550"/>
    </row>
    <row r="361" spans="1:11" s="1915" customFormat="1" hidden="1">
      <c r="B361" s="2216"/>
      <c r="C361" s="2216"/>
      <c r="D361" s="2216"/>
      <c r="E361" s="2216"/>
      <c r="F361" s="2216"/>
      <c r="G361" s="2216"/>
      <c r="H361" s="2216"/>
      <c r="I361" s="2216"/>
      <c r="K361" s="1550"/>
    </row>
    <row r="362" spans="1:11" s="1915" customFormat="1" hidden="1">
      <c r="B362" s="2216"/>
      <c r="C362" s="2216"/>
      <c r="D362" s="2216"/>
      <c r="E362" s="2216"/>
      <c r="F362" s="2216"/>
      <c r="G362" s="2216"/>
      <c r="H362" s="2216"/>
      <c r="I362" s="2216"/>
      <c r="K362" s="1550"/>
    </row>
    <row r="363" spans="1:11" s="1915" customFormat="1" hidden="1">
      <c r="A363" s="2416" t="str">
        <f>A347&amp;".1"</f>
        <v>5.4.1</v>
      </c>
      <c r="B363" s="2103" t="s">
        <v>2161</v>
      </c>
      <c r="C363" s="2415"/>
      <c r="D363" s="2415"/>
      <c r="E363" s="2415"/>
      <c r="F363" s="2415"/>
      <c r="G363" s="2415"/>
      <c r="H363" s="2415"/>
      <c r="I363" s="2415"/>
      <c r="K363" s="1550"/>
    </row>
    <row r="364" spans="1:11" s="1915" customFormat="1" hidden="1">
      <c r="A364" s="2414"/>
      <c r="B364" s="2415"/>
      <c r="C364" s="2415"/>
      <c r="D364" s="2415"/>
      <c r="E364" s="2415"/>
      <c r="F364" s="2415"/>
      <c r="G364" s="2415"/>
      <c r="H364" s="2415"/>
      <c r="I364" s="2415"/>
      <c r="K364" s="1550"/>
    </row>
    <row r="365" spans="1:11" s="1915" customFormat="1" hidden="1">
      <c r="A365" s="2414"/>
      <c r="B365" s="2415"/>
      <c r="C365" s="2415"/>
      <c r="D365" s="2415"/>
      <c r="E365" s="2415"/>
      <c r="F365" s="2415"/>
      <c r="G365" s="2415"/>
      <c r="H365" s="2415"/>
      <c r="I365" s="2415"/>
      <c r="K365" s="1550"/>
    </row>
    <row r="366" spans="1:11" s="1915" customFormat="1" hidden="1">
      <c r="A366" s="2414"/>
      <c r="B366" s="2415"/>
      <c r="C366" s="2415"/>
      <c r="D366" s="2415"/>
      <c r="E366" s="2415"/>
      <c r="F366" s="2415"/>
      <c r="G366" s="2415"/>
      <c r="H366" s="2415"/>
      <c r="I366" s="2415"/>
      <c r="K366" s="1550"/>
    </row>
    <row r="367" spans="1:11" s="1915" customFormat="1" hidden="1">
      <c r="A367" s="2414"/>
      <c r="B367" s="2415"/>
      <c r="C367" s="2415"/>
      <c r="D367" s="2415"/>
      <c r="E367" s="2415"/>
      <c r="F367" s="2415"/>
      <c r="G367" s="2415"/>
      <c r="H367" s="2415"/>
      <c r="I367" s="2415"/>
      <c r="K367" s="1550"/>
    </row>
    <row r="368" spans="1:11" s="1915" customFormat="1" hidden="1">
      <c r="A368" s="2414"/>
      <c r="B368" s="2415"/>
      <c r="C368" s="2415"/>
      <c r="D368" s="2415"/>
      <c r="E368" s="2415"/>
      <c r="F368" s="2415"/>
      <c r="G368" s="2415"/>
      <c r="H368" s="2415"/>
      <c r="I368" s="2415"/>
      <c r="K368" s="1550"/>
    </row>
    <row r="369" spans="1:11" s="1915" customFormat="1" hidden="1">
      <c r="A369" s="2414"/>
      <c r="B369" s="2415"/>
      <c r="C369" s="2415"/>
      <c r="D369" s="2415"/>
      <c r="E369" s="2415"/>
      <c r="F369" s="2415"/>
      <c r="G369" s="2415"/>
      <c r="H369" s="2415"/>
      <c r="I369" s="2415"/>
      <c r="K369" s="1550"/>
    </row>
    <row r="370" spans="1:11" s="1915" customFormat="1" hidden="1">
      <c r="A370" s="2414"/>
      <c r="B370" s="2415"/>
      <c r="C370" s="2415"/>
      <c r="D370" s="2415"/>
      <c r="E370" s="2415"/>
      <c r="F370" s="2415"/>
      <c r="G370" s="2415"/>
      <c r="H370" s="2415"/>
      <c r="I370" s="2415"/>
      <c r="K370" s="1550"/>
    </row>
    <row r="371" spans="1:11" s="1915" customFormat="1" hidden="1">
      <c r="A371" s="2414"/>
      <c r="B371" s="2415"/>
      <c r="C371" s="2415"/>
      <c r="D371" s="2415"/>
      <c r="E371" s="2415"/>
      <c r="F371" s="2415"/>
      <c r="G371" s="2415"/>
      <c r="H371" s="2415"/>
      <c r="I371" s="2415"/>
      <c r="K371" s="1550"/>
    </row>
    <row r="372" spans="1:11" s="1915" customFormat="1" hidden="1">
      <c r="A372" s="2414"/>
      <c r="B372" s="2415"/>
      <c r="C372" s="2415"/>
      <c r="D372" s="2415"/>
      <c r="E372" s="2415"/>
      <c r="F372" s="2415"/>
      <c r="G372" s="2415"/>
      <c r="H372" s="2415"/>
      <c r="I372" s="2415"/>
      <c r="K372" s="1550"/>
    </row>
    <row r="373" spans="1:11" s="1915" customFormat="1" hidden="1">
      <c r="A373" s="2414"/>
      <c r="B373" s="2415"/>
      <c r="C373" s="2415"/>
      <c r="D373" s="2415"/>
      <c r="E373" s="2415"/>
      <c r="F373" s="2415"/>
      <c r="G373" s="2415"/>
      <c r="H373" s="2415"/>
      <c r="I373" s="2415"/>
      <c r="K373" s="1550"/>
    </row>
    <row r="374" spans="1:11" s="1915" customFormat="1" hidden="1">
      <c r="A374" s="2414"/>
      <c r="B374" s="2415"/>
      <c r="C374" s="2415"/>
      <c r="D374" s="2415"/>
      <c r="E374" s="2415"/>
      <c r="F374" s="2415"/>
      <c r="G374" s="2415"/>
      <c r="H374" s="2415"/>
      <c r="I374" s="2415"/>
      <c r="K374" s="1550"/>
    </row>
    <row r="375" spans="1:11" s="1915" customFormat="1" hidden="1">
      <c r="A375" s="2414"/>
      <c r="B375" s="2415"/>
      <c r="C375" s="2415"/>
      <c r="D375" s="2415"/>
      <c r="E375" s="2415"/>
      <c r="F375" s="2415"/>
      <c r="G375" s="2415"/>
      <c r="H375" s="2415"/>
      <c r="I375" s="2415"/>
      <c r="K375" s="1550"/>
    </row>
    <row r="376" spans="1:11" s="1915" customFormat="1" hidden="1">
      <c r="B376" s="2216"/>
      <c r="C376" s="2216"/>
      <c r="D376" s="2216"/>
      <c r="E376" s="2216"/>
      <c r="F376" s="2216"/>
      <c r="G376" s="2216"/>
      <c r="H376" s="2216"/>
      <c r="I376" s="2216"/>
      <c r="K376" s="1550"/>
    </row>
    <row r="377" spans="1:11" s="1915" customFormat="1" hidden="1">
      <c r="B377" s="2216"/>
      <c r="C377" s="2216"/>
      <c r="D377" s="2216"/>
      <c r="E377" s="2216"/>
      <c r="F377" s="2216"/>
      <c r="G377" s="2216"/>
      <c r="H377" s="2216"/>
      <c r="I377" s="2216"/>
      <c r="K377" s="1550"/>
    </row>
    <row r="378" spans="1:11" s="1915" customFormat="1" hidden="1">
      <c r="A378" s="2253">
        <v>7.4</v>
      </c>
      <c r="B378" s="2981" t="s">
        <v>2248</v>
      </c>
      <c r="C378" s="2981"/>
      <c r="D378" s="2981"/>
      <c r="E378" s="2981"/>
      <c r="F378" s="2981"/>
      <c r="G378" s="2981"/>
      <c r="H378" s="2981"/>
      <c r="I378" s="2981"/>
      <c r="K378" s="1550"/>
    </row>
    <row r="379" spans="1:11" s="1915" customFormat="1" hidden="1">
      <c r="A379" s="2207"/>
      <c r="B379" s="2981"/>
      <c r="C379" s="2981"/>
      <c r="D379" s="2981"/>
      <c r="E379" s="2981"/>
      <c r="F379" s="2981"/>
      <c r="G379" s="2981"/>
      <c r="H379" s="2981"/>
      <c r="I379" s="2981"/>
      <c r="K379" s="1550"/>
    </row>
    <row r="380" spans="1:11" s="1915" customFormat="1" hidden="1">
      <c r="B380" s="2216"/>
      <c r="C380" s="2216"/>
      <c r="D380" s="2216"/>
      <c r="E380" s="2216"/>
      <c r="F380" s="2216"/>
      <c r="G380" s="2216"/>
      <c r="H380" s="2216"/>
      <c r="I380" s="2216"/>
      <c r="K380" s="1550"/>
    </row>
    <row r="381" spans="1:11" hidden="1"/>
    <row r="382" spans="1:11" hidden="1"/>
    <row r="383" spans="1:11" hidden="1"/>
    <row r="384" spans="1:11" hidden="1"/>
    <row r="385" spans="1:9" hidden="1"/>
    <row r="386" spans="1:9" hidden="1"/>
    <row r="387" spans="1:9" hidden="1"/>
    <row r="388" spans="1:9" hidden="1"/>
    <row r="389" spans="1:9" hidden="1"/>
    <row r="390" spans="1:9" hidden="1"/>
    <row r="391" spans="1:9" hidden="1"/>
    <row r="392" spans="1:9" hidden="1"/>
    <row r="393" spans="1:9" hidden="1"/>
    <row r="394" spans="1:9" hidden="1"/>
    <row r="395" spans="1:9">
      <c r="A395" s="1816">
        <v>7.5</v>
      </c>
      <c r="B395" s="2771" t="s">
        <v>2400</v>
      </c>
      <c r="C395" s="2748"/>
      <c r="D395" s="2748"/>
      <c r="E395" s="2748"/>
      <c r="F395" s="2748"/>
      <c r="G395" s="2769" t="s">
        <v>1919</v>
      </c>
      <c r="H395" s="2770"/>
      <c r="I395" s="2769" t="s">
        <v>1916</v>
      </c>
    </row>
    <row r="396" spans="1:9">
      <c r="B396" s="2771" t="s">
        <v>2401</v>
      </c>
      <c r="C396" s="2748"/>
      <c r="D396" s="2748"/>
      <c r="E396" s="2748"/>
      <c r="F396" s="2748"/>
      <c r="G396" s="2769" t="s">
        <v>1969</v>
      </c>
      <c r="H396" s="2770"/>
      <c r="I396" s="2769" t="s">
        <v>2206</v>
      </c>
    </row>
    <row r="397" spans="1:9">
      <c r="C397" s="2748"/>
      <c r="D397" s="2748"/>
      <c r="E397" s="2748"/>
      <c r="F397" s="2748"/>
      <c r="G397" s="2769">
        <v>2021</v>
      </c>
      <c r="H397" s="2770"/>
      <c r="I397" s="2769">
        <v>2021</v>
      </c>
    </row>
    <row r="398" spans="1:9">
      <c r="B398" s="2748"/>
      <c r="C398" s="2748"/>
      <c r="D398" s="2748"/>
      <c r="E398" s="2748"/>
      <c r="F398" s="2748"/>
      <c r="G398" s="2979" t="s">
        <v>2402</v>
      </c>
      <c r="H398" s="2979"/>
      <c r="I398" s="2979"/>
    </row>
    <row r="399" spans="1:9">
      <c r="B399" s="2748" t="s">
        <v>2403</v>
      </c>
      <c r="C399" s="2748"/>
      <c r="D399" s="2748"/>
      <c r="E399" s="2748"/>
      <c r="F399" s="2980" t="s">
        <v>2450</v>
      </c>
      <c r="G399" s="2772">
        <f>'Note 6.1'!I123+'5.1'!K32+'5.2.1'!I20+'5.3.1'!I32</f>
        <v>529757.76199999999</v>
      </c>
      <c r="H399" s="2749"/>
      <c r="I399" s="2773">
        <v>475216.64799999999</v>
      </c>
    </row>
    <row r="400" spans="1:9">
      <c r="B400" s="2748" t="s">
        <v>2404</v>
      </c>
      <c r="C400" s="2748"/>
      <c r="D400" s="2748"/>
      <c r="E400" s="2748"/>
      <c r="F400" s="2980"/>
      <c r="G400" s="2772">
        <f>'Note 6.1'!H123+'5.1'!J32+'5.2.1'!H20+'5.3.1'!H32</f>
        <v>545441.36899999995</v>
      </c>
      <c r="H400" s="2749"/>
      <c r="I400" s="2773">
        <v>468128</v>
      </c>
    </row>
    <row r="401" spans="1:13" ht="12.75" thickBot="1">
      <c r="B401" s="2748"/>
      <c r="C401" s="2748"/>
      <c r="D401" s="2748"/>
      <c r="E401" s="2748"/>
      <c r="F401" s="2748"/>
      <c r="G401" s="2774">
        <f>G399-G400</f>
        <v>-15683.60699999996</v>
      </c>
      <c r="H401" s="2749"/>
      <c r="I401" s="2775">
        <f>I399-I400</f>
        <v>7088.6479999999865</v>
      </c>
    </row>
    <row r="402" spans="1:13" ht="12.75" thickTop="1"/>
    <row r="403" spans="1:13" s="2425" customFormat="1">
      <c r="A403" s="1618"/>
      <c r="B403" s="1621"/>
      <c r="C403" s="1617"/>
      <c r="D403" s="1617"/>
      <c r="E403" s="1617"/>
      <c r="F403" s="1617"/>
      <c r="G403" s="2977" t="s">
        <v>2465</v>
      </c>
      <c r="H403" s="2145"/>
      <c r="I403" s="2977" t="s">
        <v>2466</v>
      </c>
      <c r="M403" s="2811">
        <v>-14851031</v>
      </c>
    </row>
    <row r="404" spans="1:13" s="2425" customFormat="1">
      <c r="A404" s="1618"/>
      <c r="B404" s="1621"/>
      <c r="C404" s="1617"/>
      <c r="D404" s="1617"/>
      <c r="E404" s="1617"/>
      <c r="F404" s="1617"/>
      <c r="G404" s="2977"/>
      <c r="H404" s="2145"/>
      <c r="I404" s="2977"/>
      <c r="M404" s="2811">
        <v>14701427</v>
      </c>
    </row>
    <row r="405" spans="1:13" s="2425" customFormat="1">
      <c r="A405" s="1755"/>
      <c r="B405" s="1755"/>
      <c r="C405" s="1804"/>
      <c r="D405" s="1804"/>
      <c r="E405" s="1804"/>
      <c r="F405" s="1804"/>
      <c r="G405" s="2498" t="s">
        <v>1989</v>
      </c>
      <c r="H405" s="2499"/>
      <c r="I405" s="2498" t="s">
        <v>1916</v>
      </c>
      <c r="M405" s="2811">
        <v>440238</v>
      </c>
    </row>
    <row r="406" spans="1:13" s="2425" customFormat="1">
      <c r="A406" s="1812">
        <f>A135+1</f>
        <v>8</v>
      </c>
      <c r="B406" s="1744" t="s">
        <v>2202</v>
      </c>
      <c r="C406" s="1804"/>
      <c r="D406" s="1804"/>
      <c r="E406" s="1804"/>
      <c r="F406" s="2497"/>
      <c r="G406" s="2976" t="s">
        <v>707</v>
      </c>
      <c r="H406" s="2976"/>
      <c r="I406" s="2976"/>
      <c r="J406" s="2417"/>
      <c r="M406" s="2811">
        <v>-1697</v>
      </c>
    </row>
    <row r="407" spans="1:13" s="2425" customFormat="1">
      <c r="A407" s="1739"/>
      <c r="B407" s="1804"/>
      <c r="C407" s="1804"/>
      <c r="D407" s="1804"/>
      <c r="E407" s="1804"/>
      <c r="F407" s="2497"/>
      <c r="G407" s="2500"/>
      <c r="H407" s="2501"/>
      <c r="I407" s="2500"/>
      <c r="J407" s="2417"/>
    </row>
    <row r="408" spans="1:13" s="2425" customFormat="1">
      <c r="A408" s="1557"/>
      <c r="B408" s="2502" t="s">
        <v>1999</v>
      </c>
      <c r="C408" s="2503"/>
      <c r="D408" s="2503"/>
      <c r="E408" s="1619"/>
      <c r="F408" s="1556"/>
      <c r="G408" s="2504">
        <f>'TB 18'!F99</f>
        <v>966</v>
      </c>
      <c r="H408" s="2504"/>
      <c r="I408" s="2504">
        <v>1052</v>
      </c>
    </row>
    <row r="409" spans="1:13" s="2425" customFormat="1">
      <c r="A409" s="1557"/>
      <c r="B409" s="2502" t="s">
        <v>2053</v>
      </c>
      <c r="C409" s="2503"/>
      <c r="D409" s="2503"/>
      <c r="E409" s="1619"/>
      <c r="F409" s="1556"/>
      <c r="G409" s="2504">
        <f>'TB 18'!F102</f>
        <v>125</v>
      </c>
      <c r="H409" s="2504"/>
      <c r="I409" s="2504">
        <v>136</v>
      </c>
    </row>
    <row r="410" spans="1:13" s="2425" customFormat="1">
      <c r="A410" s="1557"/>
      <c r="B410" s="2502" t="s">
        <v>923</v>
      </c>
      <c r="C410" s="2503"/>
      <c r="D410" s="2503"/>
      <c r="E410" s="1619"/>
      <c r="F410" s="1556"/>
      <c r="G410" s="2504">
        <f>'TB 18'!F100</f>
        <v>11</v>
      </c>
      <c r="H410" s="2504"/>
      <c r="I410" s="2504">
        <v>21</v>
      </c>
    </row>
    <row r="411" spans="1:13" s="2425" customFormat="1">
      <c r="A411" s="1557"/>
      <c r="B411" s="2502" t="s">
        <v>2258</v>
      </c>
      <c r="C411" s="2503"/>
      <c r="D411" s="2503"/>
      <c r="E411" s="1619"/>
      <c r="F411" s="1556"/>
      <c r="G411" s="2504">
        <f>'TB 18'!F120</f>
        <v>165</v>
      </c>
      <c r="H411" s="2504"/>
      <c r="I411" s="2504">
        <v>0</v>
      </c>
    </row>
    <row r="412" spans="1:13" s="2425" customFormat="1">
      <c r="A412" s="1557"/>
      <c r="B412" s="2502" t="s">
        <v>2177</v>
      </c>
      <c r="C412" s="2503"/>
      <c r="D412" s="2503"/>
      <c r="E412" s="1619"/>
      <c r="F412" s="1556"/>
      <c r="G412" s="2504">
        <f>'TB 18'!F119</f>
        <v>70</v>
      </c>
      <c r="H412" s="2504"/>
      <c r="I412" s="2504">
        <v>54</v>
      </c>
    </row>
    <row r="413" spans="1:13" s="2425" customFormat="1" ht="12.75" thickBot="1">
      <c r="A413" s="1557"/>
      <c r="B413" s="2502"/>
      <c r="C413" s="2503"/>
      <c r="D413" s="2503"/>
      <c r="E413" s="1619"/>
      <c r="F413" s="1556"/>
      <c r="G413" s="2505">
        <f>SUM(G408:G412)</f>
        <v>1337</v>
      </c>
      <c r="H413" s="2504"/>
      <c r="I413" s="2505">
        <f>SUM(I408:I412)</f>
        <v>1263</v>
      </c>
      <c r="J413" s="2425">
        <v>1125</v>
      </c>
    </row>
    <row r="414" spans="1:13" s="2425" customFormat="1" ht="12.75" thickTop="1">
      <c r="A414" s="1557"/>
      <c r="B414" s="2502"/>
      <c r="C414" s="2503"/>
      <c r="D414" s="2503"/>
      <c r="E414" s="1619"/>
      <c r="F414" s="1556"/>
      <c r="G414" s="2506"/>
      <c r="H414" s="2504"/>
      <c r="I414" s="2506"/>
    </row>
    <row r="415" spans="1:13" s="2425" customFormat="1">
      <c r="A415" s="1557"/>
      <c r="B415" s="2502"/>
      <c r="C415" s="2503"/>
      <c r="D415" s="2503"/>
      <c r="E415" s="1619"/>
      <c r="F415" s="1556"/>
      <c r="G415" s="2506"/>
      <c r="H415" s="2504"/>
      <c r="I415" s="2506"/>
    </row>
    <row r="416" spans="1:13"/>
    <row r="417" spans="1:16">
      <c r="A417" s="1730"/>
      <c r="B417" s="1730"/>
      <c r="C417" s="1821"/>
      <c r="D417" s="1603"/>
      <c r="E417" s="1730"/>
      <c r="F417" s="1604"/>
      <c r="G417" s="2286" t="s">
        <v>2245</v>
      </c>
      <c r="H417" s="1589"/>
      <c r="I417" s="1815" t="s">
        <v>2019</v>
      </c>
      <c r="J417" s="1781"/>
    </row>
    <row r="418" spans="1:16">
      <c r="A418" s="1730"/>
      <c r="B418" s="1730"/>
      <c r="C418" s="1821"/>
      <c r="D418" s="1603"/>
      <c r="E418" s="1730"/>
      <c r="F418" s="1604"/>
      <c r="G418" s="1605">
        <v>2021</v>
      </c>
      <c r="H418" s="1738"/>
      <c r="I418" s="2122">
        <v>2021</v>
      </c>
      <c r="J418" s="1781"/>
    </row>
    <row r="419" spans="1:16">
      <c r="A419" s="1676"/>
      <c r="B419" s="2284"/>
      <c r="C419" s="2284"/>
      <c r="G419" s="2282" t="s">
        <v>1919</v>
      </c>
      <c r="H419" s="2284"/>
      <c r="I419" s="2282" t="s">
        <v>1916</v>
      </c>
    </row>
    <row r="420" spans="1:16">
      <c r="A420" s="1812">
        <f>A406+1</f>
        <v>9</v>
      </c>
      <c r="B420" s="1816" t="str">
        <f>UPPER(BS!A27)</f>
        <v>ACCRUED EXPENSES AND OTHER LIABILITIES</v>
      </c>
      <c r="C420" s="2218"/>
      <c r="F420" s="2218" t="s">
        <v>678</v>
      </c>
      <c r="G420" s="2972" t="s">
        <v>707</v>
      </c>
      <c r="H420" s="2972"/>
      <c r="I420" s="2972"/>
    </row>
    <row r="421" spans="1:16" ht="9" customHeight="1">
      <c r="A421" s="1606"/>
      <c r="C421" s="1685"/>
      <c r="G421" s="1607"/>
      <c r="I421" s="1730"/>
    </row>
    <row r="422" spans="1:16">
      <c r="A422" s="1606"/>
      <c r="B422" s="1727" t="s">
        <v>1862</v>
      </c>
      <c r="F422" s="1616">
        <v>9.1</v>
      </c>
      <c r="G422" s="1728">
        <f>'TB 18'!F113</f>
        <v>0</v>
      </c>
      <c r="H422" s="1926"/>
      <c r="I422" s="1728">
        <v>9434</v>
      </c>
      <c r="J422" s="1926">
        <f>G422-I422</f>
        <v>-9434</v>
      </c>
      <c r="L422" s="1727">
        <v>870565</v>
      </c>
      <c r="N422" s="1614">
        <f>L422/L426*1000</f>
        <v>54.89993413130415</v>
      </c>
    </row>
    <row r="423" spans="1:16">
      <c r="A423" s="1606"/>
      <c r="B423" s="1727" t="s">
        <v>891</v>
      </c>
      <c r="H423" s="1926"/>
      <c r="I423" s="1728"/>
      <c r="L423" s="1727">
        <v>5684</v>
      </c>
    </row>
    <row r="424" spans="1:16">
      <c r="A424" s="1606"/>
      <c r="B424" s="1608" t="s">
        <v>892</v>
      </c>
      <c r="F424" s="1616">
        <v>9.1999999999999993</v>
      </c>
      <c r="G424" s="1728">
        <f>'TB 18'!F103</f>
        <v>16590</v>
      </c>
      <c r="I424" s="1728">
        <v>16590</v>
      </c>
      <c r="L424" s="1727">
        <f>SUM(L422:L423)</f>
        <v>876249</v>
      </c>
      <c r="N424" s="1926">
        <f>G424</f>
        <v>16590</v>
      </c>
      <c r="P424" s="1615">
        <f>N426-N422</f>
        <v>1.0462055185291632</v>
      </c>
    </row>
    <row r="425" spans="1:16">
      <c r="A425" s="1606"/>
      <c r="B425" s="1608" t="s">
        <v>893</v>
      </c>
      <c r="C425" s="1685"/>
      <c r="G425" s="1728">
        <f>'TB 18'!F105</f>
        <v>4746</v>
      </c>
      <c r="H425" s="1926"/>
      <c r="I425" s="1728">
        <v>4746</v>
      </c>
      <c r="N425" s="1926">
        <f>L422+N424</f>
        <v>887155</v>
      </c>
    </row>
    <row r="426" spans="1:16">
      <c r="A426" s="1606"/>
      <c r="B426" s="1857" t="s">
        <v>2021</v>
      </c>
      <c r="C426" s="1685"/>
      <c r="G426" s="1728">
        <f>'TB 18'!F111+'TB 18'!F112</f>
        <v>924</v>
      </c>
      <c r="H426" s="1926"/>
      <c r="I426" s="1728">
        <v>443</v>
      </c>
      <c r="J426" s="1738">
        <f>(G422*1000)/BS!$F$38</f>
        <v>0</v>
      </c>
      <c r="L426" s="1727">
        <v>15857305</v>
      </c>
      <c r="N426" s="1855">
        <f>N425/L426*1000</f>
        <v>55.946139649833313</v>
      </c>
    </row>
    <row r="427" spans="1:16">
      <c r="A427" s="1606"/>
      <c r="B427" s="1857" t="s">
        <v>2467</v>
      </c>
      <c r="C427" s="1685"/>
      <c r="G427" s="1728">
        <f>'TB 18'!F115</f>
        <v>44</v>
      </c>
      <c r="H427" s="1926"/>
      <c r="I427" s="1728">
        <v>231</v>
      </c>
      <c r="J427" s="1738">
        <f>((+G424+G425)*1000)/BS!$F$38</f>
        <v>1.2730360475522615</v>
      </c>
    </row>
    <row r="428" spans="1:16">
      <c r="A428" s="1606"/>
      <c r="B428" s="1857" t="s">
        <v>2468</v>
      </c>
      <c r="C428" s="1685"/>
      <c r="G428" s="1728">
        <f>'TB 18'!F114</f>
        <v>542</v>
      </c>
      <c r="H428" s="1926"/>
      <c r="I428" s="1728">
        <v>396</v>
      </c>
      <c r="J428" s="1781"/>
      <c r="L428" s="1614">
        <f>L424/L426*1000</f>
        <v>55.258380916555495</v>
      </c>
      <c r="N428" s="1614">
        <f>L428-N422</f>
        <v>0.35844678525134555</v>
      </c>
    </row>
    <row r="429" spans="1:16">
      <c r="A429" s="1606"/>
      <c r="B429" s="1857" t="s">
        <v>2469</v>
      </c>
      <c r="C429" s="1685"/>
      <c r="G429" s="1728">
        <f>'TB 18'!F117</f>
        <v>65</v>
      </c>
      <c r="H429" s="1926"/>
      <c r="I429" s="1728">
        <v>37</v>
      </c>
      <c r="J429" s="1781"/>
    </row>
    <row r="430" spans="1:16">
      <c r="A430" s="1606"/>
      <c r="B430" s="1857" t="s">
        <v>2249</v>
      </c>
      <c r="C430" s="1685"/>
      <c r="G430" s="1728">
        <f>'TB 18'!F116</f>
        <v>423</v>
      </c>
      <c r="H430" s="1926"/>
      <c r="I430" s="1728">
        <v>31</v>
      </c>
      <c r="J430" s="1781"/>
    </row>
    <row r="431" spans="1:16">
      <c r="A431" s="1606"/>
      <c r="B431" s="1857" t="s">
        <v>2470</v>
      </c>
      <c r="C431" s="2801"/>
      <c r="G431" s="1728">
        <f>'TB 18'!F118</f>
        <v>307</v>
      </c>
      <c r="H431" s="1926"/>
      <c r="I431" s="1728">
        <v>307</v>
      </c>
      <c r="J431" s="1781"/>
    </row>
    <row r="432" spans="1:16" ht="12.75" thickBot="1">
      <c r="A432" s="1609"/>
      <c r="C432" s="1610"/>
      <c r="E432" s="1926"/>
      <c r="G432" s="1790">
        <f>SUM(G422:G431)</f>
        <v>23641</v>
      </c>
      <c r="H432" s="1789"/>
      <c r="I432" s="1790">
        <f>SUM(I422:I431)</f>
        <v>32215</v>
      </c>
      <c r="J432" s="1781"/>
    </row>
    <row r="433" spans="1:12" ht="9.9499999999999993" customHeight="1" thickTop="1">
      <c r="A433" s="1609"/>
      <c r="B433" s="1704"/>
      <c r="C433" s="1610"/>
      <c r="E433" s="1926"/>
      <c r="G433" s="1851"/>
      <c r="H433" s="1789"/>
      <c r="I433" s="1851"/>
      <c r="J433" s="1781"/>
    </row>
    <row r="434" spans="1:12">
      <c r="A434" s="1612">
        <f>A420+0.1</f>
        <v>9.1</v>
      </c>
      <c r="B434" s="1675" t="s">
        <v>1942</v>
      </c>
      <c r="C434" s="1685"/>
      <c r="D434" s="1882"/>
      <c r="E434" s="1926"/>
      <c r="F434" s="1728"/>
    </row>
    <row r="435" spans="1:12" ht="9.9499999999999993" customHeight="1">
      <c r="B435" s="1611"/>
      <c r="C435" s="1611"/>
      <c r="D435" s="1611"/>
      <c r="E435" s="1611"/>
      <c r="F435" s="1611"/>
    </row>
    <row r="436" spans="1:12" ht="12" customHeight="1">
      <c r="B436" s="2984" t="s">
        <v>2532</v>
      </c>
      <c r="C436" s="2985"/>
      <c r="D436" s="2985"/>
      <c r="E436" s="2985"/>
      <c r="F436" s="2985"/>
      <c r="G436" s="2985"/>
      <c r="H436" s="2985"/>
      <c r="I436" s="2985"/>
    </row>
    <row r="437" spans="1:12">
      <c r="B437" s="2985"/>
      <c r="C437" s="2985"/>
      <c r="D437" s="2985"/>
      <c r="E437" s="2985"/>
      <c r="F437" s="2985"/>
      <c r="G437" s="2985"/>
      <c r="H437" s="2985"/>
      <c r="I437" s="2985"/>
      <c r="J437" s="1614">
        <f>G422/BS!F38*1000</f>
        <v>0</v>
      </c>
      <c r="L437" s="1727">
        <f>I422/BS!H38*1000</f>
        <v>0.8076707662050826</v>
      </c>
    </row>
    <row r="438" spans="1:12">
      <c r="B438" s="2985"/>
      <c r="C438" s="2985"/>
      <c r="D438" s="2985"/>
      <c r="E438" s="2985"/>
      <c r="F438" s="2985"/>
      <c r="G438" s="2985"/>
      <c r="H438" s="2985"/>
      <c r="I438" s="2985"/>
    </row>
    <row r="439" spans="1:12">
      <c r="B439" s="2985"/>
      <c r="C439" s="2985"/>
      <c r="D439" s="2985"/>
      <c r="E439" s="2985"/>
      <c r="F439" s="2985"/>
      <c r="G439" s="2985"/>
      <c r="H439" s="2985"/>
      <c r="I439" s="2985"/>
    </row>
    <row r="440" spans="1:12" ht="32.25" customHeight="1">
      <c r="B440" s="2985"/>
      <c r="C440" s="2985"/>
      <c r="D440" s="2985"/>
      <c r="E440" s="2985"/>
      <c r="F440" s="2985"/>
      <c r="G440" s="2985"/>
      <c r="H440" s="2985"/>
      <c r="I440" s="2985"/>
    </row>
    <row r="441" spans="1:12" ht="2.25" customHeight="1">
      <c r="B441" s="2985"/>
      <c r="C441" s="2985"/>
      <c r="D441" s="2985"/>
      <c r="E441" s="2985"/>
      <c r="F441" s="2985"/>
      <c r="G441" s="2985"/>
      <c r="H441" s="2985"/>
      <c r="I441" s="2985"/>
    </row>
    <row r="442" spans="1:12" ht="12" customHeight="1">
      <c r="B442" s="2848"/>
      <c r="C442" s="2848"/>
      <c r="D442" s="2848"/>
      <c r="E442" s="2848"/>
      <c r="F442" s="2848"/>
      <c r="G442" s="2848"/>
      <c r="H442" s="2848"/>
      <c r="I442" s="2848"/>
    </row>
    <row r="443" spans="1:12" ht="23.25" customHeight="1">
      <c r="B443" s="3009" t="s">
        <v>2533</v>
      </c>
      <c r="C443" s="2985"/>
      <c r="D443" s="2985"/>
      <c r="E443" s="2985"/>
      <c r="F443" s="2985"/>
      <c r="G443" s="2985"/>
      <c r="H443" s="2985"/>
      <c r="I443" s="2985"/>
    </row>
    <row r="444" spans="1:12" ht="11.25" customHeight="1">
      <c r="B444" s="2985"/>
      <c r="C444" s="2985"/>
      <c r="D444" s="2985"/>
      <c r="E444" s="2985"/>
      <c r="F444" s="2985"/>
      <c r="G444" s="2985"/>
      <c r="H444" s="2985"/>
      <c r="I444" s="2985"/>
    </row>
    <row r="445" spans="1:12" ht="11.25" customHeight="1">
      <c r="B445" s="2848"/>
      <c r="C445" s="2848"/>
      <c r="D445" s="2848"/>
      <c r="E445" s="2848"/>
      <c r="F445" s="2848"/>
      <c r="G445" s="2848"/>
      <c r="H445" s="2848"/>
      <c r="I445" s="2848"/>
    </row>
    <row r="446" spans="1:12" ht="11.25" customHeight="1">
      <c r="B446" s="3009" t="s">
        <v>2534</v>
      </c>
      <c r="C446" s="2985"/>
      <c r="D446" s="2985"/>
      <c r="E446" s="2985"/>
      <c r="F446" s="2985"/>
      <c r="G446" s="2985"/>
      <c r="H446" s="2985"/>
      <c r="I446" s="2985"/>
    </row>
    <row r="447" spans="1:12" ht="23.25" customHeight="1">
      <c r="B447" s="2842"/>
      <c r="C447" s="2842"/>
      <c r="D447" s="2842"/>
      <c r="E447" s="2842"/>
      <c r="F447" s="2842"/>
      <c r="G447" s="2842"/>
      <c r="H447" s="2842"/>
      <c r="I447" s="2842"/>
    </row>
    <row r="448" spans="1:12">
      <c r="A448" s="1612">
        <f>A434+0.1</f>
        <v>9.1999999999999993</v>
      </c>
      <c r="B448" s="1675" t="s">
        <v>894</v>
      </c>
    </row>
    <row r="449" spans="1:12" ht="9.9499999999999993" customHeight="1"/>
    <row r="450" spans="1:12">
      <c r="B450" s="2973" t="s">
        <v>2563</v>
      </c>
      <c r="C450" s="2974"/>
      <c r="D450" s="2974"/>
      <c r="E450" s="2974"/>
      <c r="F450" s="2974"/>
      <c r="G450" s="2974"/>
      <c r="H450" s="2974"/>
      <c r="I450" s="2974"/>
    </row>
    <row r="451" spans="1:12">
      <c r="B451" s="2974"/>
      <c r="C451" s="2974"/>
      <c r="D451" s="2974"/>
      <c r="E451" s="2974"/>
      <c r="F451" s="2974"/>
      <c r="G451" s="2974"/>
      <c r="H451" s="2974"/>
      <c r="I451" s="2974"/>
      <c r="K451" s="1926">
        <f>+G424+G425</f>
        <v>21336</v>
      </c>
      <c r="L451" s="1926">
        <f>+K451</f>
        <v>21336</v>
      </c>
    </row>
    <row r="452" spans="1:12">
      <c r="B452" s="2974"/>
      <c r="C452" s="2974"/>
      <c r="D452" s="2974"/>
      <c r="E452" s="2974"/>
      <c r="F452" s="2974"/>
      <c r="G452" s="2974"/>
      <c r="H452" s="2974"/>
      <c r="I452" s="2974"/>
      <c r="K452" s="1727">
        <f>+BS!F38</f>
        <v>16759933.892700002</v>
      </c>
      <c r="L452" s="1727">
        <f>+BS!H38</f>
        <v>11680502</v>
      </c>
    </row>
    <row r="453" spans="1:12">
      <c r="B453" s="2974"/>
      <c r="C453" s="2974"/>
      <c r="D453" s="2974"/>
      <c r="E453" s="2974"/>
      <c r="F453" s="2974"/>
      <c r="G453" s="2974"/>
      <c r="H453" s="2974"/>
      <c r="I453" s="2974"/>
      <c r="K453" s="2418">
        <f>+K451*1000/K452</f>
        <v>1.2730360475522615</v>
      </c>
      <c r="L453" s="2418">
        <f>+L451*1000/L452</f>
        <v>1.8266338210463899</v>
      </c>
    </row>
    <row r="454" spans="1:12">
      <c r="B454" s="2974"/>
      <c r="C454" s="2974"/>
      <c r="D454" s="2974"/>
      <c r="E454" s="2974"/>
      <c r="F454" s="2974"/>
      <c r="G454" s="2974"/>
      <c r="H454" s="2974"/>
      <c r="I454" s="2974"/>
      <c r="J454" s="1740">
        <f>(G424+G425)/BS!F38*1000</f>
        <v>1.2730360475522615</v>
      </c>
      <c r="L454" s="1740">
        <f>I424/BS!H38*1000</f>
        <v>1.4203156679396143</v>
      </c>
    </row>
    <row r="455" spans="1:12" ht="4.5" customHeight="1">
      <c r="B455" s="2974"/>
      <c r="C455" s="2974"/>
      <c r="D455" s="2974"/>
      <c r="E455" s="2974"/>
      <c r="F455" s="2974"/>
      <c r="G455" s="2974"/>
      <c r="H455" s="2974"/>
      <c r="I455" s="2974"/>
    </row>
    <row r="456" spans="1:12" hidden="1">
      <c r="A456" s="1734"/>
      <c r="B456" s="2973"/>
      <c r="C456" s="2973"/>
      <c r="D456" s="2973"/>
      <c r="E456" s="2973"/>
      <c r="F456" s="2973"/>
      <c r="G456" s="2973"/>
      <c r="H456" s="2973"/>
      <c r="I456" s="2973"/>
    </row>
    <row r="457" spans="1:12" ht="9.9499999999999993" customHeight="1">
      <c r="A457" s="1734"/>
      <c r="B457" s="2456"/>
      <c r="C457" s="2456"/>
      <c r="D457" s="2456"/>
    </row>
    <row r="458" spans="1:12">
      <c r="A458" s="1812">
        <f>A420+1</f>
        <v>10</v>
      </c>
      <c r="B458" s="1744" t="s">
        <v>895</v>
      </c>
    </row>
    <row r="459" spans="1:12"/>
    <row r="460" spans="1:12">
      <c r="A460" s="1734"/>
      <c r="B460" s="1692" t="s">
        <v>2493</v>
      </c>
      <c r="C460" s="1717"/>
      <c r="D460" s="1717"/>
      <c r="E460" s="1687"/>
      <c r="F460" s="1687"/>
    </row>
    <row r="461" spans="1:12">
      <c r="A461" s="1734"/>
      <c r="B461" s="1692"/>
      <c r="C461" s="1717"/>
      <c r="D461" s="1717"/>
      <c r="E461" s="2745"/>
      <c r="F461" s="2745"/>
    </row>
    <row r="462" spans="1:12">
      <c r="A462" s="2750"/>
      <c r="B462" s="2751"/>
      <c r="C462" s="2752"/>
      <c r="D462" s="2752"/>
      <c r="E462" s="2752"/>
      <c r="F462" s="2752"/>
      <c r="G462" s="2753" t="s">
        <v>1969</v>
      </c>
      <c r="H462" s="2754"/>
      <c r="I462" s="2753" t="s">
        <v>2019</v>
      </c>
    </row>
    <row r="463" spans="1:12">
      <c r="A463" s="2755"/>
      <c r="B463" s="2751"/>
      <c r="C463" s="2752"/>
      <c r="D463" s="2752"/>
      <c r="E463" s="2752"/>
      <c r="F463" s="2752"/>
      <c r="G463" s="2756">
        <v>2021</v>
      </c>
      <c r="H463" s="2757"/>
      <c r="I463" s="2756">
        <v>2021</v>
      </c>
    </row>
    <row r="464" spans="1:12">
      <c r="A464" s="2755"/>
      <c r="B464" s="2751"/>
      <c r="C464" s="2752"/>
      <c r="D464" s="2752"/>
      <c r="E464" s="2752"/>
      <c r="F464" s="2752"/>
      <c r="G464" s="2758" t="s">
        <v>2392</v>
      </c>
      <c r="H464" s="2759"/>
      <c r="I464" s="2758" t="s">
        <v>1916</v>
      </c>
    </row>
    <row r="465" spans="1:9">
      <c r="A465" s="2794">
        <f>A458+0.1</f>
        <v>10.1</v>
      </c>
      <c r="B465" s="2760" t="s">
        <v>2393</v>
      </c>
      <c r="C465" s="2752"/>
      <c r="D465" s="2752"/>
      <c r="E465" s="2752"/>
      <c r="F465" s="2752"/>
      <c r="G465" s="2975" t="s">
        <v>2394</v>
      </c>
      <c r="H465" s="2975"/>
      <c r="I465" s="2975"/>
    </row>
    <row r="466" spans="1:9">
      <c r="A466" s="1734"/>
      <c r="B466" s="1692"/>
      <c r="C466" s="1717"/>
      <c r="D466" s="1717"/>
      <c r="E466" s="2745"/>
      <c r="F466" s="2745"/>
    </row>
    <row r="467" spans="1:9">
      <c r="A467" s="1734"/>
      <c r="B467" s="2761" t="s">
        <v>2395</v>
      </c>
      <c r="C467" s="2762"/>
      <c r="D467" s="2762"/>
      <c r="E467" s="2752"/>
      <c r="F467" s="2752"/>
      <c r="G467" s="2752"/>
      <c r="H467" s="2763"/>
      <c r="I467" s="2752"/>
    </row>
    <row r="468" spans="1:9">
      <c r="A468" s="1734"/>
      <c r="B468" s="2764" t="s">
        <v>2396</v>
      </c>
      <c r="C468" s="2762"/>
      <c r="D468" s="2762"/>
      <c r="E468" s="2752"/>
      <c r="F468" s="2752"/>
      <c r="G468" s="2172"/>
      <c r="H468" s="2763"/>
      <c r="I468" s="2752"/>
    </row>
    <row r="469" spans="1:9">
      <c r="A469" s="1734"/>
      <c r="B469" s="2812" t="s">
        <v>1360</v>
      </c>
      <c r="C469" s="2762"/>
      <c r="D469" s="2762"/>
      <c r="E469" s="2752"/>
      <c r="F469" s="2752"/>
      <c r="G469" s="2172">
        <f>347172002/1000</f>
        <v>347172.00199999998</v>
      </c>
      <c r="H469" s="2763"/>
      <c r="I469" s="1613">
        <v>250704</v>
      </c>
    </row>
    <row r="470" spans="1:9">
      <c r="A470" s="1734"/>
      <c r="B470" s="2812" t="s">
        <v>1359</v>
      </c>
      <c r="C470" s="2762"/>
      <c r="D470" s="2762"/>
      <c r="E470" s="2752"/>
      <c r="F470" s="2752"/>
      <c r="G470" s="2172">
        <v>0</v>
      </c>
      <c r="H470" s="2763"/>
      <c r="I470" s="1613">
        <v>4721</v>
      </c>
    </row>
    <row r="471" spans="1:9" ht="12.75" thickBot="1">
      <c r="A471" s="1734"/>
      <c r="B471" s="2764"/>
      <c r="C471" s="2762"/>
      <c r="D471" s="2762"/>
      <c r="E471" s="2752"/>
      <c r="F471" s="2752"/>
      <c r="G471" s="2767"/>
      <c r="H471" s="2763"/>
      <c r="I471" s="2765"/>
    </row>
    <row r="472" spans="1:9" ht="12.75" thickTop="1">
      <c r="A472" s="1734"/>
      <c r="B472" s="2764"/>
      <c r="C472" s="2762"/>
      <c r="D472" s="2762"/>
      <c r="E472" s="2752"/>
      <c r="F472" s="2752"/>
      <c r="G472" s="2768"/>
      <c r="H472" s="2763"/>
      <c r="I472" s="1868"/>
    </row>
    <row r="473" spans="1:9">
      <c r="A473" s="1734"/>
      <c r="B473" s="2761" t="s">
        <v>2398</v>
      </c>
      <c r="C473" s="2762"/>
      <c r="D473" s="2762"/>
      <c r="E473" s="2752"/>
      <c r="F473" s="2752"/>
      <c r="G473" s="2768"/>
      <c r="H473" s="2763"/>
      <c r="I473" s="1868"/>
    </row>
    <row r="474" spans="1:9">
      <c r="A474" s="1734"/>
      <c r="B474" s="2764" t="s">
        <v>2396</v>
      </c>
      <c r="C474" s="2762"/>
      <c r="D474" s="2762"/>
      <c r="E474" s="2752"/>
      <c r="F474" s="2752"/>
      <c r="G474" s="2768"/>
      <c r="H474" s="2763"/>
      <c r="I474" s="1868"/>
    </row>
    <row r="475" spans="1:9" ht="12.75" thickBot="1">
      <c r="A475" s="1734"/>
      <c r="B475" s="2764" t="s">
        <v>2397</v>
      </c>
      <c r="C475" s="2762"/>
      <c r="D475" s="2762"/>
      <c r="E475" s="2752"/>
      <c r="F475" s="2752"/>
      <c r="G475" s="2768">
        <v>0</v>
      </c>
      <c r="H475" s="2763"/>
      <c r="I475" s="2765">
        <v>2269</v>
      </c>
    </row>
    <row r="476" spans="1:9" ht="12.75" thickTop="1">
      <c r="A476" s="1685"/>
      <c r="B476" s="2766"/>
      <c r="C476" s="2762"/>
      <c r="D476" s="2762"/>
      <c r="E476" s="2752"/>
      <c r="F476" s="2752"/>
      <c r="G476" s="1868"/>
      <c r="H476" s="2763"/>
      <c r="I476" s="1868"/>
    </row>
    <row r="477" spans="1:9">
      <c r="A477" s="1812">
        <f>A458+1</f>
        <v>11</v>
      </c>
      <c r="B477" s="1744" t="s">
        <v>915</v>
      </c>
    </row>
    <row r="478" spans="1:9">
      <c r="A478" s="1812"/>
      <c r="B478" s="1744"/>
    </row>
    <row r="479" spans="1:9">
      <c r="A479" s="1685"/>
      <c r="B479" s="2973" t="s">
        <v>2454</v>
      </c>
      <c r="C479" s="2974"/>
      <c r="D479" s="2974"/>
      <c r="E479" s="2974"/>
      <c r="F479" s="2974"/>
      <c r="G479" s="2974"/>
      <c r="H479" s="2974"/>
      <c r="I479" s="2974"/>
    </row>
    <row r="480" spans="1:9">
      <c r="A480" s="1685"/>
      <c r="B480" s="2974"/>
      <c r="C480" s="2974"/>
      <c r="D480" s="2974"/>
      <c r="E480" s="2974"/>
      <c r="F480" s="2974"/>
      <c r="G480" s="2974"/>
      <c r="H480" s="2974"/>
      <c r="I480" s="2974"/>
    </row>
    <row r="481" spans="1:9">
      <c r="A481" s="1685"/>
      <c r="B481" s="2974"/>
      <c r="C481" s="2974"/>
      <c r="D481" s="2974"/>
      <c r="E481" s="2974"/>
      <c r="F481" s="2974"/>
      <c r="G481" s="2974"/>
      <c r="H481" s="2974"/>
      <c r="I481" s="2974"/>
    </row>
    <row r="482" spans="1:9">
      <c r="A482" s="1685"/>
      <c r="B482" s="2974"/>
      <c r="C482" s="2974"/>
      <c r="D482" s="2974"/>
      <c r="E482" s="2974"/>
      <c r="F482" s="2974"/>
      <c r="G482" s="2974"/>
      <c r="H482" s="2974"/>
      <c r="I482" s="2974"/>
    </row>
    <row r="483" spans="1:9">
      <c r="A483" s="1685"/>
      <c r="B483" s="2974"/>
      <c r="C483" s="2974"/>
      <c r="D483" s="2974"/>
      <c r="E483" s="2974"/>
      <c r="F483" s="2974"/>
      <c r="G483" s="2974"/>
      <c r="H483" s="2974"/>
      <c r="I483" s="2974"/>
    </row>
    <row r="484" spans="1:9">
      <c r="A484" s="1685"/>
      <c r="B484" s="2974"/>
      <c r="C484" s="2974"/>
      <c r="D484" s="2974"/>
      <c r="E484" s="2974"/>
      <c r="F484" s="2974"/>
      <c r="G484" s="2974"/>
      <c r="H484" s="2974"/>
      <c r="I484" s="2974"/>
    </row>
    <row r="485" spans="1:9">
      <c r="A485" s="1685"/>
      <c r="B485" s="2974"/>
      <c r="C485" s="2974"/>
      <c r="D485" s="2974"/>
      <c r="E485" s="2974"/>
      <c r="F485" s="2974"/>
      <c r="G485" s="2974"/>
      <c r="H485" s="2974"/>
      <c r="I485" s="2974"/>
    </row>
    <row r="486" spans="1:9">
      <c r="A486" s="1685"/>
      <c r="B486" s="2974"/>
      <c r="C486" s="2974"/>
      <c r="D486" s="2974"/>
      <c r="E486" s="2974"/>
      <c r="F486" s="2974"/>
      <c r="G486" s="2974"/>
      <c r="H486" s="2974"/>
      <c r="I486" s="2974"/>
    </row>
    <row r="487" spans="1:9" ht="24.75" customHeight="1">
      <c r="A487" s="1685"/>
      <c r="B487" s="2974"/>
      <c r="C487" s="2974"/>
      <c r="D487" s="2974"/>
      <c r="E487" s="2974"/>
      <c r="F487" s="2974"/>
      <c r="G487" s="2974"/>
      <c r="H487" s="2974"/>
      <c r="I487" s="2974"/>
    </row>
    <row r="488" spans="1:9">
      <c r="A488" s="1685"/>
      <c r="B488" s="2283"/>
      <c r="C488" s="2283"/>
      <c r="D488" s="2283"/>
      <c r="E488" s="2283"/>
      <c r="F488" s="2283"/>
      <c r="G488" s="2283"/>
      <c r="H488" s="2283"/>
      <c r="I488" s="2283"/>
    </row>
    <row r="489" spans="1:9" hidden="1">
      <c r="A489" s="1816">
        <v>9</v>
      </c>
      <c r="B489" s="1620" t="s">
        <v>2103</v>
      </c>
      <c r="C489" s="1834"/>
      <c r="D489" s="1834"/>
      <c r="E489" s="1834"/>
      <c r="F489" s="1834"/>
      <c r="G489" s="1834"/>
      <c r="H489" s="1834"/>
      <c r="I489" s="1834"/>
    </row>
    <row r="490" spans="1:9" hidden="1">
      <c r="A490" s="1685"/>
      <c r="B490" s="1834"/>
      <c r="C490" s="1834"/>
      <c r="D490" s="1834"/>
      <c r="E490" s="1834"/>
      <c r="F490" s="1834"/>
      <c r="G490" s="1834"/>
      <c r="H490" s="1834"/>
      <c r="I490" s="1834"/>
    </row>
    <row r="491" spans="1:9" hidden="1">
      <c r="A491" s="1685"/>
      <c r="B491" s="2974" t="s">
        <v>2197</v>
      </c>
      <c r="C491" s="2974"/>
      <c r="D491" s="2974"/>
      <c r="E491" s="2974"/>
      <c r="F491" s="2974"/>
      <c r="G491" s="2974"/>
      <c r="H491" s="2974"/>
      <c r="I491" s="2974"/>
    </row>
    <row r="492" spans="1:9" hidden="1">
      <c r="A492" s="1685"/>
      <c r="B492" s="2974"/>
      <c r="C492" s="2974"/>
      <c r="D492" s="2974"/>
      <c r="E492" s="2974"/>
      <c r="F492" s="2974"/>
      <c r="G492" s="2974"/>
      <c r="H492" s="2974"/>
      <c r="I492" s="2974"/>
    </row>
    <row r="493" spans="1:9" hidden="1">
      <c r="A493" s="1685"/>
      <c r="B493" s="2974"/>
      <c r="C493" s="2974"/>
      <c r="D493" s="2974"/>
      <c r="E493" s="2974"/>
      <c r="F493" s="2974"/>
      <c r="G493" s="2974"/>
      <c r="H493" s="2974"/>
      <c r="I493" s="2974"/>
    </row>
    <row r="494" spans="1:9" hidden="1">
      <c r="A494" s="1685"/>
      <c r="B494" s="2974"/>
      <c r="C494" s="2974"/>
      <c r="D494" s="2974"/>
      <c r="E494" s="2974"/>
      <c r="F494" s="2974"/>
      <c r="G494" s="2974"/>
      <c r="H494" s="2974"/>
      <c r="I494" s="2974"/>
    </row>
    <row r="495" spans="1:9" hidden="1">
      <c r="A495" s="1685"/>
      <c r="B495" s="2974"/>
      <c r="C495" s="2974"/>
      <c r="D495" s="2974"/>
      <c r="E495" s="2974"/>
      <c r="F495" s="2974"/>
      <c r="G495" s="2974"/>
      <c r="H495" s="2974"/>
      <c r="I495" s="2974"/>
    </row>
    <row r="496" spans="1:9" hidden="1">
      <c r="A496" s="1685"/>
      <c r="B496" s="2974"/>
      <c r="C496" s="2974"/>
      <c r="D496" s="2974"/>
      <c r="E496" s="2974"/>
      <c r="F496" s="2974"/>
      <c r="G496" s="2974"/>
      <c r="H496" s="2974"/>
      <c r="I496" s="2974"/>
    </row>
    <row r="497" spans="1:14" hidden="1">
      <c r="A497" s="1685"/>
      <c r="B497" s="2974"/>
      <c r="C497" s="2974"/>
      <c r="D497" s="2974"/>
      <c r="E497" s="2974"/>
      <c r="F497" s="2974"/>
      <c r="G497" s="2974"/>
      <c r="H497" s="2974"/>
      <c r="I497" s="2974"/>
    </row>
    <row r="498" spans="1:14" s="1755" customFormat="1">
      <c r="A498" s="1812">
        <f>A477+1</f>
        <v>12</v>
      </c>
      <c r="B498" s="1620" t="s">
        <v>1923</v>
      </c>
      <c r="C498" s="1918"/>
      <c r="D498" s="1918"/>
      <c r="E498" s="1918"/>
      <c r="F498" s="1918"/>
      <c r="G498" s="1918"/>
      <c r="H498" s="1915"/>
      <c r="I498" s="1918"/>
      <c r="J498" s="1918"/>
    </row>
    <row r="499" spans="1:14" s="1755" customFormat="1">
      <c r="A499" s="1618"/>
      <c r="B499" s="1918"/>
      <c r="C499" s="1918"/>
      <c r="D499" s="1918"/>
      <c r="E499" s="1918"/>
      <c r="F499" s="1918"/>
      <c r="G499" s="1918"/>
      <c r="H499" s="1915"/>
      <c r="I499" s="1918"/>
      <c r="J499" s="1918"/>
    </row>
    <row r="500" spans="1:14" s="1755" customFormat="1">
      <c r="A500" s="1618"/>
      <c r="B500" s="2970" t="s">
        <v>2242</v>
      </c>
      <c r="C500" s="2971"/>
      <c r="D500" s="2971"/>
      <c r="E500" s="2971"/>
      <c r="F500" s="2971"/>
      <c r="G500" s="2971"/>
      <c r="H500" s="2971"/>
      <c r="I500" s="2971"/>
      <c r="J500" s="1617"/>
    </row>
    <row r="501" spans="1:14" s="1755" customFormat="1">
      <c r="A501" s="1618"/>
      <c r="B501" s="2971"/>
      <c r="C501" s="2971"/>
      <c r="D501" s="2971"/>
      <c r="E501" s="2971"/>
      <c r="F501" s="2971"/>
      <c r="G501" s="2971"/>
      <c r="H501" s="2971"/>
      <c r="I501" s="2971"/>
      <c r="J501" s="1617"/>
    </row>
    <row r="502" spans="1:14" s="2425" customFormat="1">
      <c r="A502" s="1557"/>
      <c r="B502" s="2502"/>
      <c r="C502" s="2503"/>
      <c r="D502" s="2503"/>
      <c r="E502" s="1619"/>
      <c r="F502" s="1556"/>
      <c r="G502" s="2506"/>
      <c r="H502" s="2504"/>
      <c r="I502" s="2506"/>
    </row>
    <row r="503" spans="1:14" s="1755" customFormat="1" ht="11.25" customHeight="1">
      <c r="A503" s="1812">
        <f>A498+1</f>
        <v>13</v>
      </c>
      <c r="B503" s="1675" t="s">
        <v>1922</v>
      </c>
      <c r="J503" s="1617"/>
    </row>
    <row r="504" spans="1:14" s="1755" customFormat="1" ht="9.75" customHeight="1">
      <c r="A504" s="1618"/>
      <c r="J504" s="1617"/>
    </row>
    <row r="505" spans="1:14" s="1755" customFormat="1" ht="9.75" customHeight="1">
      <c r="A505" s="1618"/>
      <c r="B505" s="2966" t="s">
        <v>2564</v>
      </c>
      <c r="C505" s="2973"/>
      <c r="D505" s="2973"/>
      <c r="E505" s="2973"/>
      <c r="F505" s="2973"/>
      <c r="G505" s="2973"/>
      <c r="H505" s="2973"/>
      <c r="I505" s="2973"/>
      <c r="J505" s="1617"/>
    </row>
    <row r="506" spans="1:14" s="1755" customFormat="1" ht="9.75" customHeight="1">
      <c r="A506" s="1618"/>
      <c r="B506" s="2973"/>
      <c r="C506" s="2973"/>
      <c r="D506" s="2973"/>
      <c r="E506" s="2973"/>
      <c r="F506" s="2973"/>
      <c r="G506" s="2973"/>
      <c r="H506" s="2973"/>
      <c r="I506" s="2973"/>
      <c r="J506" s="1617"/>
      <c r="K506" s="1755">
        <f>0.67-0.63</f>
        <v>4.0000000000000036E-2</v>
      </c>
      <c r="M506" s="1755">
        <f>0.67/92*365</f>
        <v>2.6581521739130434</v>
      </c>
    </row>
    <row r="507" spans="1:14" s="1755" customFormat="1" ht="5.45" customHeight="1">
      <c r="A507" s="1618"/>
      <c r="B507" s="2973"/>
      <c r="C507" s="2973"/>
      <c r="D507" s="2973"/>
      <c r="E507" s="2973"/>
      <c r="F507" s="2973"/>
      <c r="G507" s="2973"/>
      <c r="H507" s="2973"/>
      <c r="I507" s="2973"/>
      <c r="J507" s="1617"/>
    </row>
    <row r="508" spans="1:14" s="1755" customFormat="1" ht="78.599999999999994" hidden="1" customHeight="1">
      <c r="A508" s="1618"/>
      <c r="B508" s="2973"/>
      <c r="C508" s="2973"/>
      <c r="D508" s="2973"/>
      <c r="E508" s="2973"/>
      <c r="F508" s="2973"/>
      <c r="G508" s="2973"/>
      <c r="H508" s="2973"/>
      <c r="I508" s="2973"/>
      <c r="J508" s="1617"/>
      <c r="L508" s="1755">
        <f>0.63-0.56</f>
        <v>6.9999999999999951E-2</v>
      </c>
      <c r="M508" s="1755">
        <f>2.5-2.66</f>
        <v>-0.16000000000000014</v>
      </c>
    </row>
    <row r="509" spans="1:14" s="1755" customFormat="1" ht="9.75" customHeight="1">
      <c r="A509" s="1739"/>
      <c r="B509" s="1804"/>
      <c r="C509" s="1804"/>
      <c r="D509" s="1804"/>
      <c r="E509" s="1804"/>
      <c r="F509" s="1804"/>
      <c r="G509" s="1617"/>
      <c r="H509" s="1549"/>
      <c r="I509" s="1617"/>
      <c r="J509" s="1617"/>
    </row>
    <row r="510" spans="1:14" s="1719" customFormat="1">
      <c r="A510" s="1812">
        <f>A503+1</f>
        <v>14</v>
      </c>
      <c r="B510" s="1794" t="s">
        <v>2225</v>
      </c>
      <c r="C510" s="1794"/>
      <c r="D510" s="1794"/>
      <c r="E510" s="1794"/>
      <c r="F510" s="1795"/>
      <c r="H510" s="1666"/>
      <c r="J510" s="2217"/>
      <c r="L510" s="1796">
        <v>14</v>
      </c>
    </row>
    <row r="511" spans="1:14" s="1719" customFormat="1">
      <c r="A511" s="1797"/>
      <c r="B511" s="1795"/>
      <c r="C511" s="1795"/>
      <c r="D511" s="1795"/>
      <c r="E511" s="1795"/>
      <c r="F511" s="1795"/>
      <c r="G511" s="2293"/>
      <c r="H511" s="2146"/>
    </row>
    <row r="512" spans="1:14" s="1719" customFormat="1">
      <c r="A512" s="1797"/>
      <c r="B512" s="2993" t="s">
        <v>2226</v>
      </c>
      <c r="C512" s="2993"/>
      <c r="D512" s="2993"/>
      <c r="E512" s="2993"/>
      <c r="F512" s="2993"/>
      <c r="G512" s="2993"/>
      <c r="H512" s="2993"/>
      <c r="I512" s="2993"/>
      <c r="J512" s="1798"/>
      <c r="K512" s="1798"/>
      <c r="L512" s="2280"/>
      <c r="M512" s="2280"/>
      <c r="N512" s="2280"/>
    </row>
    <row r="513" spans="1:14" s="1719" customFormat="1">
      <c r="A513" s="1797"/>
      <c r="B513" s="2993"/>
      <c r="C513" s="2993"/>
      <c r="D513" s="2993"/>
      <c r="E513" s="2993"/>
      <c r="F513" s="2993"/>
      <c r="G513" s="2993"/>
      <c r="H513" s="2993"/>
      <c r="I513" s="2993"/>
      <c r="J513" s="1798"/>
      <c r="K513" s="1798"/>
      <c r="L513" s="2280"/>
      <c r="M513" s="2280"/>
      <c r="N513" s="2280"/>
    </row>
    <row r="514" spans="1:14" s="1719" customFormat="1">
      <c r="A514" s="1797"/>
      <c r="B514" s="2993"/>
      <c r="C514" s="2993"/>
      <c r="D514" s="2993"/>
      <c r="E514" s="2993"/>
      <c r="F514" s="2993"/>
      <c r="G514" s="2993"/>
      <c r="H514" s="2993"/>
      <c r="I514" s="2993"/>
      <c r="J514" s="1798"/>
      <c r="K514" s="1798"/>
      <c r="L514" s="2280"/>
      <c r="M514" s="2280"/>
      <c r="N514" s="2280"/>
    </row>
    <row r="515" spans="1:14" s="1719" customFormat="1">
      <c r="A515" s="1797"/>
      <c r="B515" s="2993"/>
      <c r="C515" s="2993"/>
      <c r="D515" s="2993"/>
      <c r="E515" s="2993"/>
      <c r="F515" s="2993"/>
      <c r="G515" s="2993"/>
      <c r="H515" s="2993"/>
      <c r="I515" s="2993"/>
      <c r="J515" s="1798"/>
      <c r="K515" s="1798"/>
      <c r="L515" s="2280"/>
      <c r="M515" s="2280"/>
      <c r="N515" s="2280"/>
    </row>
    <row r="516" spans="1:14" s="1719" customFormat="1" ht="4.5" customHeight="1">
      <c r="A516" s="1797"/>
      <c r="B516" s="2993"/>
      <c r="C516" s="2993"/>
      <c r="D516" s="2993"/>
      <c r="E516" s="2993"/>
      <c r="F516" s="2993"/>
      <c r="G516" s="2993"/>
      <c r="H516" s="2993"/>
      <c r="I516" s="2993"/>
      <c r="J516" s="1798"/>
      <c r="K516" s="1798"/>
      <c r="L516" s="1799"/>
    </row>
    <row r="517" spans="1:14" s="1719" customFormat="1">
      <c r="A517" s="1797"/>
      <c r="B517" s="1798"/>
      <c r="C517" s="1798"/>
      <c r="D517" s="1798"/>
      <c r="E517" s="1798"/>
      <c r="F517" s="1798"/>
      <c r="G517" s="1798"/>
      <c r="H517" s="1798"/>
      <c r="I517" s="1798"/>
      <c r="J517" s="1798"/>
      <c r="K517" s="1798"/>
      <c r="L517" s="1799"/>
    </row>
    <row r="518" spans="1:14" s="1802" customFormat="1">
      <c r="A518" s="1800"/>
      <c r="B518" s="2992" t="s">
        <v>2227</v>
      </c>
      <c r="C518" s="2993"/>
      <c r="D518" s="2993"/>
      <c r="E518" s="2993"/>
      <c r="F518" s="2993"/>
      <c r="G518" s="2993"/>
      <c r="H518" s="2993"/>
      <c r="I518" s="2993"/>
      <c r="J518" s="2991"/>
      <c r="K518" s="1803"/>
      <c r="L518" s="1801"/>
    </row>
    <row r="519" spans="1:14" s="1802" customFormat="1">
      <c r="A519" s="1800"/>
      <c r="B519" s="2993"/>
      <c r="C519" s="2993"/>
      <c r="D519" s="2993"/>
      <c r="E519" s="2993"/>
      <c r="F519" s="2993"/>
      <c r="G519" s="2993"/>
      <c r="H519" s="2993"/>
      <c r="I519" s="2993"/>
      <c r="J519" s="2991"/>
      <c r="K519" s="1803"/>
      <c r="L519" s="1801"/>
    </row>
    <row r="520" spans="1:14" s="1802" customFormat="1" ht="3.75" customHeight="1">
      <c r="A520" s="1800"/>
      <c r="B520" s="2993"/>
      <c r="C520" s="2993"/>
      <c r="D520" s="2993"/>
      <c r="E520" s="2993"/>
      <c r="F520" s="2993"/>
      <c r="G520" s="2993"/>
      <c r="H520" s="2993"/>
      <c r="I520" s="2993"/>
      <c r="J520" s="2991"/>
      <c r="K520" s="1803"/>
      <c r="L520" s="1801"/>
    </row>
    <row r="521" spans="1:14" s="1802" customFormat="1" hidden="1">
      <c r="A521" s="1800"/>
      <c r="B521" s="2993"/>
      <c r="C521" s="2993"/>
      <c r="D521" s="2993"/>
      <c r="E521" s="2993"/>
      <c r="F521" s="2993"/>
      <c r="G521" s="2993"/>
      <c r="H521" s="2993"/>
      <c r="I521" s="2993"/>
      <c r="J521" s="2991"/>
      <c r="K521" s="1803"/>
      <c r="L521" s="1801"/>
    </row>
    <row r="522" spans="1:14" s="1802" customFormat="1">
      <c r="A522" s="1800"/>
      <c r="B522" s="2280"/>
      <c r="C522" s="2280"/>
      <c r="D522" s="2280"/>
      <c r="E522" s="2280"/>
      <c r="F522" s="2280"/>
      <c r="G522" s="2280"/>
      <c r="H522" s="2280"/>
      <c r="I522" s="2280"/>
      <c r="J522" s="2281"/>
      <c r="K522" s="1803"/>
      <c r="L522" s="1801"/>
    </row>
    <row r="523" spans="1:14" s="1802" customFormat="1">
      <c r="A523" s="1800"/>
      <c r="B523" s="2992" t="s">
        <v>2007</v>
      </c>
      <c r="C523" s="2993"/>
      <c r="D523" s="2993"/>
      <c r="E523" s="2993"/>
      <c r="F523" s="2993"/>
      <c r="G523" s="2993"/>
      <c r="H523" s="2993"/>
      <c r="I523" s="2993"/>
      <c r="J523" s="2991"/>
      <c r="K523" s="1803"/>
      <c r="L523" s="1801"/>
    </row>
    <row r="524" spans="1:14" s="1802" customFormat="1">
      <c r="A524" s="1800"/>
      <c r="B524" s="2993"/>
      <c r="C524" s="2993"/>
      <c r="D524" s="2993"/>
      <c r="E524" s="2993"/>
      <c r="F524" s="2993"/>
      <c r="G524" s="2993"/>
      <c r="H524" s="2993"/>
      <c r="I524" s="2993"/>
      <c r="J524" s="2991"/>
      <c r="K524" s="1803"/>
      <c r="L524" s="1801"/>
    </row>
    <row r="525" spans="1:14" s="1802" customFormat="1">
      <c r="A525" s="1800"/>
      <c r="B525" s="2280"/>
      <c r="C525" s="2280"/>
      <c r="D525" s="2280"/>
      <c r="E525" s="2280"/>
      <c r="F525" s="2280"/>
      <c r="G525" s="2280"/>
      <c r="H525" s="2280"/>
      <c r="I525" s="2280"/>
      <c r="J525" s="2281"/>
      <c r="K525" s="1803"/>
      <c r="L525" s="1801"/>
    </row>
    <row r="526" spans="1:14" s="1802" customFormat="1" ht="27" customHeight="1">
      <c r="A526" s="1800"/>
      <c r="B526" s="2999" t="s">
        <v>2228</v>
      </c>
      <c r="C526" s="3000"/>
      <c r="D526" s="3000"/>
      <c r="E526" s="3000"/>
      <c r="F526" s="3000"/>
      <c r="G526" s="3000"/>
      <c r="H526" s="3000"/>
      <c r="I526" s="3000"/>
      <c r="J526" s="2281"/>
      <c r="K526" s="1803"/>
      <c r="L526" s="1801"/>
    </row>
    <row r="527" spans="1:14" s="1802" customFormat="1">
      <c r="A527" s="1800"/>
      <c r="B527" s="2280"/>
      <c r="C527" s="2280"/>
      <c r="D527" s="2280"/>
      <c r="E527" s="2280"/>
      <c r="F527" s="2280"/>
      <c r="G527" s="2280"/>
      <c r="H527" s="2280"/>
      <c r="I527" s="2280"/>
      <c r="J527" s="2281"/>
      <c r="K527" s="1803"/>
      <c r="L527" s="1801"/>
    </row>
    <row r="528" spans="1:14" s="1755" customFormat="1">
      <c r="A528" s="1618"/>
      <c r="B528" s="1621"/>
      <c r="C528" s="1617"/>
      <c r="D528" s="1617"/>
      <c r="E528" s="1617"/>
      <c r="F528" s="1617"/>
      <c r="G528" s="1617"/>
      <c r="H528" s="1549"/>
      <c r="I528" s="1617"/>
      <c r="J528" s="1617"/>
    </row>
    <row r="529" spans="1:11">
      <c r="A529" s="1786">
        <f>A510+0.1</f>
        <v>14.1</v>
      </c>
      <c r="B529" s="2279" t="s">
        <v>1696</v>
      </c>
    </row>
    <row r="530" spans="1:11" s="1755" customFormat="1">
      <c r="A530" s="1618"/>
      <c r="B530" s="1621"/>
      <c r="C530" s="1617"/>
      <c r="D530" s="1617"/>
      <c r="E530" s="1617"/>
      <c r="F530" s="1617"/>
      <c r="G530" s="1617"/>
      <c r="H530" s="1549"/>
      <c r="I530" s="1617"/>
      <c r="J530" s="1617"/>
    </row>
    <row r="531" spans="1:11" s="1915" customFormat="1">
      <c r="A531" s="1551"/>
      <c r="B531" s="2216"/>
      <c r="C531" s="2216"/>
      <c r="D531" s="2216"/>
      <c r="E531" s="2216"/>
      <c r="F531" s="2216"/>
      <c r="G531" s="2216"/>
      <c r="H531" s="2216"/>
      <c r="I531" s="2216"/>
      <c r="K531" s="1550"/>
    </row>
    <row r="532" spans="1:11" s="1915" customFormat="1">
      <c r="B532" s="2216"/>
      <c r="C532" s="2216"/>
      <c r="D532" s="2216"/>
      <c r="E532" s="2216"/>
      <c r="F532" s="2216"/>
      <c r="G532" s="2216"/>
      <c r="H532" s="2216"/>
      <c r="I532" s="2216"/>
      <c r="K532" s="1550"/>
    </row>
    <row r="533" spans="1:11" s="1915" customFormat="1">
      <c r="B533" s="2216"/>
      <c r="C533" s="2216"/>
      <c r="D533" s="2216"/>
      <c r="E533" s="2216"/>
      <c r="F533" s="2216"/>
      <c r="G533" s="2216"/>
      <c r="H533" s="2216"/>
      <c r="I533" s="2216"/>
      <c r="K533" s="1550"/>
    </row>
    <row r="534" spans="1:11" s="1915" customFormat="1">
      <c r="B534" s="2216"/>
      <c r="C534" s="2216"/>
      <c r="D534" s="2216"/>
      <c r="E534" s="2216"/>
      <c r="F534" s="2216"/>
      <c r="G534" s="2216"/>
      <c r="H534" s="2216"/>
      <c r="I534" s="2216"/>
      <c r="K534" s="1550"/>
    </row>
    <row r="535" spans="1:11" s="1915" customFormat="1">
      <c r="B535" s="1552"/>
      <c r="C535" s="1552"/>
      <c r="D535" s="1552"/>
      <c r="E535" s="1552"/>
      <c r="F535" s="1552"/>
      <c r="G535" s="1552"/>
      <c r="H535" s="1552"/>
      <c r="I535" s="1552"/>
      <c r="K535" s="1550"/>
    </row>
    <row r="536" spans="1:11" s="1915" customFormat="1">
      <c r="A536" s="1551"/>
      <c r="B536" s="2216"/>
      <c r="C536" s="2216"/>
      <c r="D536" s="2216"/>
      <c r="E536" s="2216"/>
      <c r="F536" s="2216"/>
      <c r="G536" s="2216"/>
      <c r="H536" s="2216"/>
      <c r="I536" s="2216"/>
      <c r="K536" s="1550"/>
    </row>
    <row r="537" spans="1:11" s="1915" customFormat="1">
      <c r="B537" s="2216"/>
      <c r="C537" s="2216"/>
      <c r="D537" s="2216"/>
      <c r="E537" s="2216"/>
      <c r="F537" s="2216"/>
      <c r="G537" s="2216"/>
      <c r="H537" s="2216"/>
      <c r="I537" s="2216"/>
      <c r="K537" s="1550"/>
    </row>
    <row r="538" spans="1:11" s="1915" customFormat="1">
      <c r="B538" s="2216"/>
      <c r="C538" s="2216"/>
      <c r="D538" s="2216"/>
      <c r="E538" s="2216"/>
      <c r="F538" s="2216"/>
      <c r="G538" s="2216"/>
      <c r="H538" s="2216"/>
      <c r="I538" s="2216"/>
      <c r="K538" s="1550"/>
    </row>
    <row r="539" spans="1:11" s="1915" customFormat="1">
      <c r="B539" s="2216"/>
      <c r="C539" s="2216"/>
      <c r="D539" s="2216"/>
      <c r="E539" s="2216"/>
      <c r="F539" s="2216"/>
      <c r="G539" s="2216"/>
      <c r="H539" s="2216"/>
      <c r="I539" s="2216"/>
      <c r="K539" s="1550"/>
    </row>
    <row r="540" spans="1:11" s="1730" customFormat="1">
      <c r="A540" s="1551"/>
      <c r="B540" s="2216"/>
      <c r="C540" s="2216"/>
      <c r="D540" s="2216"/>
      <c r="E540" s="2216"/>
      <c r="F540" s="2216"/>
      <c r="G540" s="2216"/>
      <c r="H540" s="2216"/>
      <c r="I540" s="2216"/>
    </row>
    <row r="541" spans="1:11" s="1730" customFormat="1">
      <c r="A541" s="1554"/>
      <c r="B541" s="2216"/>
      <c r="C541" s="2216"/>
      <c r="D541" s="2216"/>
      <c r="E541" s="2216"/>
      <c r="F541" s="2216"/>
      <c r="G541" s="2216"/>
      <c r="H541" s="2216"/>
      <c r="I541" s="2216"/>
    </row>
    <row r="542" spans="1:11" s="1730" customFormat="1">
      <c r="A542" s="1570"/>
      <c r="B542" s="1817"/>
      <c r="C542" s="1817"/>
      <c r="D542" s="1817"/>
      <c r="E542" s="1817"/>
      <c r="F542" s="1817"/>
      <c r="G542" s="1817"/>
      <c r="H542" s="1817"/>
      <c r="I542" s="1817"/>
    </row>
    <row r="543" spans="1:11" s="1730" customFormat="1">
      <c r="A543" s="1570"/>
      <c r="B543" s="1817"/>
      <c r="C543" s="1817"/>
      <c r="D543" s="1555"/>
      <c r="E543" s="1817"/>
      <c r="F543" s="1817"/>
      <c r="G543" s="1817"/>
      <c r="H543" s="1817"/>
      <c r="I543" s="1556"/>
    </row>
    <row r="544" spans="1:11" s="1730" customFormat="1">
      <c r="A544" s="1570"/>
      <c r="B544" s="1817"/>
      <c r="C544" s="1817"/>
      <c r="D544" s="1555"/>
      <c r="E544" s="1817"/>
      <c r="F544" s="1817"/>
      <c r="G544" s="1817"/>
      <c r="H544" s="1817"/>
      <c r="I544" s="1556"/>
    </row>
    <row r="545" spans="1:9" s="1730" customFormat="1">
      <c r="D545" s="1557"/>
      <c r="I545" s="1558"/>
    </row>
    <row r="546" spans="1:9" s="1730" customFormat="1">
      <c r="D546" s="2302"/>
      <c r="E546" s="2271"/>
      <c r="F546" s="2271"/>
      <c r="G546" s="2271"/>
      <c r="H546" s="2271"/>
      <c r="I546" s="2271"/>
    </row>
    <row r="547" spans="1:9" s="1730" customFormat="1">
      <c r="D547" s="2302"/>
      <c r="E547" s="2271"/>
      <c r="F547" s="2271"/>
      <c r="G547" s="2271"/>
      <c r="H547" s="2271"/>
      <c r="I547" s="2271"/>
    </row>
    <row r="548" spans="1:9" s="1730" customFormat="1">
      <c r="A548" s="1559"/>
      <c r="B548" s="1560"/>
    </row>
    <row r="549" spans="1:9" s="1730" customFormat="1"/>
    <row r="550" spans="1:9" s="1730" customFormat="1">
      <c r="B550" s="1915"/>
      <c r="D550" s="1699"/>
      <c r="E550" s="1581"/>
      <c r="F550" s="1581"/>
      <c r="G550" s="1581"/>
      <c r="H550" s="1581"/>
      <c r="I550" s="1917"/>
    </row>
    <row r="551" spans="1:9" s="1730" customFormat="1">
      <c r="D551" s="1699"/>
      <c r="E551" s="1917"/>
      <c r="F551" s="1917"/>
      <c r="G551" s="1917"/>
      <c r="H551" s="1917"/>
      <c r="I551" s="1917"/>
    </row>
    <row r="552" spans="1:9" s="1730" customFormat="1">
      <c r="D552" s="1699"/>
      <c r="E552" s="1917"/>
      <c r="F552" s="1917"/>
      <c r="G552" s="1917"/>
      <c r="H552" s="1917"/>
      <c r="I552" s="1917"/>
    </row>
    <row r="553" spans="1:9" s="1573" customFormat="1">
      <c r="D553" s="1561"/>
      <c r="E553" s="1851"/>
      <c r="F553" s="1851"/>
      <c r="G553" s="1851"/>
      <c r="H553" s="1851"/>
      <c r="I553" s="1562"/>
    </row>
    <row r="554" spans="1:9" s="1730" customFormat="1"/>
    <row r="555" spans="1:9" s="1730" customFormat="1" ht="12.75" hidden="1" customHeight="1">
      <c r="A555" s="1563"/>
      <c r="B555" s="1564"/>
    </row>
    <row r="556" spans="1:9" s="1730" customFormat="1">
      <c r="A556" s="1563"/>
      <c r="B556" s="1564"/>
    </row>
    <row r="557" spans="1:9" s="1730" customFormat="1">
      <c r="A557" s="1563"/>
      <c r="B557" s="1564"/>
      <c r="D557" s="1555"/>
      <c r="E557" s="1817"/>
      <c r="F557" s="1817"/>
      <c r="G557" s="1817"/>
      <c r="H557" s="1817"/>
      <c r="I557" s="1556"/>
    </row>
    <row r="558" spans="1:9" s="1730" customFormat="1">
      <c r="A558" s="1563"/>
      <c r="B558" s="1564"/>
      <c r="D558" s="1555"/>
      <c r="E558" s="1817"/>
      <c r="F558" s="1817"/>
      <c r="G558" s="1817"/>
      <c r="H558" s="1817"/>
      <c r="I558" s="1556"/>
    </row>
    <row r="559" spans="1:9" s="1730" customFormat="1">
      <c r="A559" s="1563"/>
      <c r="B559" s="1564"/>
      <c r="D559" s="1557"/>
      <c r="I559" s="1558"/>
    </row>
    <row r="560" spans="1:9" s="1730" customFormat="1">
      <c r="A560" s="1563"/>
      <c r="B560" s="1564"/>
      <c r="D560" s="2302"/>
      <c r="E560" s="2271"/>
      <c r="F560" s="2271"/>
      <c r="G560" s="2271"/>
      <c r="H560" s="2271"/>
      <c r="I560" s="2271"/>
    </row>
    <row r="561" spans="1:12" s="1730" customFormat="1">
      <c r="A561" s="1559"/>
      <c r="B561" s="1630"/>
      <c r="C561" s="1565"/>
      <c r="J561" s="1566"/>
      <c r="K561" s="1567"/>
    </row>
    <row r="562" spans="1:12" s="1730" customFormat="1">
      <c r="J562" s="2271"/>
      <c r="K562" s="2271"/>
    </row>
    <row r="563" spans="1:12" s="1730" customFormat="1">
      <c r="J563" s="2271"/>
      <c r="K563" s="2271"/>
    </row>
    <row r="564" spans="1:12" s="1730" customFormat="1">
      <c r="J564" s="2271"/>
      <c r="K564" s="2271"/>
    </row>
    <row r="565" spans="1:12" s="1730" customFormat="1">
      <c r="J565" s="2271"/>
      <c r="K565" s="2271"/>
    </row>
    <row r="566" spans="1:12" s="1730" customFormat="1">
      <c r="J566" s="2271"/>
      <c r="K566" s="2271"/>
    </row>
    <row r="567" spans="1:12" s="1730" customFormat="1">
      <c r="A567" s="1559"/>
      <c r="B567" s="1568"/>
      <c r="J567" s="1917"/>
      <c r="K567" s="1728"/>
      <c r="L567" s="1915"/>
    </row>
    <row r="568" spans="1:12" s="1730" customFormat="1">
      <c r="A568" s="1559"/>
      <c r="B568" s="1568"/>
      <c r="J568" s="1917"/>
      <c r="K568" s="1728"/>
      <c r="L568" s="1915"/>
    </row>
    <row r="569" spans="1:12" s="1730" customFormat="1" ht="12.75" hidden="1" customHeight="1">
      <c r="A569" s="1559"/>
      <c r="B569" s="1569"/>
      <c r="C569" s="1732"/>
      <c r="D569" s="1689"/>
      <c r="E569" s="1733"/>
      <c r="F569" s="1733"/>
      <c r="G569" s="1733"/>
      <c r="H569" s="1733"/>
      <c r="I569" s="1733"/>
    </row>
    <row r="570" spans="1:12" s="1730" customFormat="1">
      <c r="A570" s="1559"/>
      <c r="B570" s="1569"/>
      <c r="C570" s="1732"/>
      <c r="D570" s="1689"/>
      <c r="E570" s="1733"/>
      <c r="F570" s="1733"/>
      <c r="G570" s="1733"/>
      <c r="H570" s="1733"/>
      <c r="I570" s="1733"/>
    </row>
    <row r="571" spans="1:12" s="1730" customFormat="1">
      <c r="A571" s="1559"/>
      <c r="B571" s="1569"/>
      <c r="C571" s="1732"/>
      <c r="D571" s="1689"/>
      <c r="E571" s="1733"/>
      <c r="F571" s="1733"/>
      <c r="G571" s="1733"/>
      <c r="H571" s="1733"/>
      <c r="I571" s="1733"/>
    </row>
    <row r="572" spans="1:12" s="1730" customFormat="1">
      <c r="A572" s="1559"/>
      <c r="B572" s="1569"/>
      <c r="C572" s="1732"/>
      <c r="D572" s="1689"/>
      <c r="E572" s="1733"/>
      <c r="F572" s="1733"/>
      <c r="G572" s="1733"/>
      <c r="H572" s="1733"/>
      <c r="I572" s="1733"/>
    </row>
    <row r="573" spans="1:12" s="1730" customFormat="1">
      <c r="A573" s="1559"/>
      <c r="B573" s="1569"/>
      <c r="C573" s="1732"/>
      <c r="D573" s="1689"/>
      <c r="E573" s="1733"/>
      <c r="F573" s="1733"/>
      <c r="G573" s="1733"/>
      <c r="H573" s="1733"/>
      <c r="I573" s="1733"/>
    </row>
    <row r="574" spans="1:12" s="1730" customFormat="1">
      <c r="A574" s="1559"/>
      <c r="B574" s="1569"/>
      <c r="C574" s="1732"/>
      <c r="D574" s="1689"/>
      <c r="E574" s="1733"/>
      <c r="F574" s="1733"/>
      <c r="G574" s="1733"/>
      <c r="H574" s="1733"/>
      <c r="I574" s="1733"/>
    </row>
    <row r="575" spans="1:12" s="1730" customFormat="1">
      <c r="A575" s="1559"/>
      <c r="B575" s="1569"/>
      <c r="C575" s="1732"/>
      <c r="D575" s="1689"/>
      <c r="E575" s="1733"/>
      <c r="F575" s="1733"/>
      <c r="G575" s="1733"/>
      <c r="H575" s="1733"/>
      <c r="I575" s="1733"/>
    </row>
    <row r="576" spans="1:12" s="1730" customFormat="1">
      <c r="A576" s="1559"/>
      <c r="B576" s="1569"/>
      <c r="C576" s="1732"/>
      <c r="D576" s="1689"/>
      <c r="E576" s="1733"/>
      <c r="F576" s="1733"/>
      <c r="G576" s="1733"/>
      <c r="H576" s="1733"/>
      <c r="I576" s="1733"/>
    </row>
    <row r="577" spans="1:11" s="1730" customFormat="1">
      <c r="A577" s="1559"/>
      <c r="B577" s="1569"/>
      <c r="C577" s="1732"/>
      <c r="D577" s="1689"/>
      <c r="E577" s="1733"/>
      <c r="F577" s="1733"/>
      <c r="G577" s="1733"/>
      <c r="H577" s="1733"/>
      <c r="I577" s="1733"/>
    </row>
    <row r="578" spans="1:11" s="1730" customFormat="1">
      <c r="A578" s="1559"/>
      <c r="B578" s="1569"/>
      <c r="C578" s="1732"/>
      <c r="D578" s="1689"/>
      <c r="E578" s="1733"/>
      <c r="F578" s="1733"/>
      <c r="G578" s="1733"/>
      <c r="H578" s="1733"/>
      <c r="I578" s="1733"/>
    </row>
    <row r="579" spans="1:11" s="1730" customFormat="1">
      <c r="A579" s="1559"/>
      <c r="B579" s="1569"/>
      <c r="C579" s="1732"/>
      <c r="D579" s="1689"/>
      <c r="E579" s="1733"/>
      <c r="F579" s="1733"/>
      <c r="G579" s="1733"/>
      <c r="H579" s="1733"/>
      <c r="I579" s="1733"/>
    </row>
    <row r="580" spans="1:11" s="1730" customFormat="1">
      <c r="A580" s="1559"/>
      <c r="B580" s="1569"/>
      <c r="C580" s="1732"/>
      <c r="D580" s="1689"/>
      <c r="E580" s="1733"/>
      <c r="F580" s="1733"/>
      <c r="G580" s="1733"/>
      <c r="H580" s="1733"/>
      <c r="I580" s="1733"/>
    </row>
    <row r="581" spans="1:11" s="1730" customFormat="1">
      <c r="A581" s="1559"/>
      <c r="B581" s="1569"/>
      <c r="C581" s="1732"/>
      <c r="D581" s="1689"/>
      <c r="E581" s="1733"/>
      <c r="F581" s="1733"/>
      <c r="G581" s="1733"/>
      <c r="H581" s="1733"/>
      <c r="I581" s="1733"/>
    </row>
    <row r="582" spans="1:11">
      <c r="A582" s="1786">
        <f>A529+0.1</f>
        <v>14.2</v>
      </c>
      <c r="B582" s="2279" t="s">
        <v>2008</v>
      </c>
    </row>
    <row r="583" spans="1:11" ht="9" customHeight="1">
      <c r="A583" s="1857"/>
      <c r="B583" s="1918"/>
    </row>
    <row r="584" spans="1:11" s="1918" customFormat="1">
      <c r="A584" s="1659"/>
      <c r="G584" s="1651" t="s">
        <v>2245</v>
      </c>
      <c r="H584" s="1652"/>
      <c r="I584" s="2150" t="s">
        <v>2245</v>
      </c>
      <c r="K584" s="1711"/>
    </row>
    <row r="585" spans="1:11" s="1918" customFormat="1">
      <c r="A585" s="1659"/>
      <c r="G585" s="1653">
        <v>2021</v>
      </c>
      <c r="H585" s="1666"/>
      <c r="I585" s="1653">
        <v>2020</v>
      </c>
      <c r="K585" s="1711"/>
    </row>
    <row r="586" spans="1:11" s="1918" customFormat="1">
      <c r="A586" s="1659"/>
      <c r="G586" s="2460" t="s">
        <v>1919</v>
      </c>
      <c r="I586" s="2151" t="s">
        <v>1919</v>
      </c>
      <c r="K586" s="1711"/>
    </row>
    <row r="587" spans="1:11" s="1918" customFormat="1">
      <c r="A587" s="1659"/>
      <c r="G587" s="3012" t="s">
        <v>2020</v>
      </c>
      <c r="H587" s="3013"/>
      <c r="I587" s="3013"/>
      <c r="K587" s="1711"/>
    </row>
    <row r="588" spans="1:11" s="1918" customFormat="1">
      <c r="A588" s="1659"/>
      <c r="B588" s="1675" t="s">
        <v>2010</v>
      </c>
      <c r="K588" s="1711"/>
    </row>
    <row r="589" spans="1:11" s="1918" customFormat="1">
      <c r="A589" s="1659"/>
      <c r="B589" s="1918" t="s">
        <v>916</v>
      </c>
      <c r="G589" s="1926">
        <f>+IS!E29+IS!E30</f>
        <v>2252</v>
      </c>
      <c r="I589" s="1711">
        <v>1550</v>
      </c>
      <c r="K589" s="1711"/>
    </row>
    <row r="590" spans="1:11" s="1918" customFormat="1">
      <c r="A590" s="1659"/>
      <c r="B590" s="1918" t="s">
        <v>2264</v>
      </c>
      <c r="G590" s="1926">
        <f>IS!E37</f>
        <v>165</v>
      </c>
      <c r="I590" s="1711">
        <v>1314</v>
      </c>
      <c r="K590" s="1711"/>
    </row>
    <row r="591" spans="1:11" s="1918" customFormat="1">
      <c r="A591" s="1659"/>
      <c r="B591" s="1918" t="s">
        <v>917</v>
      </c>
      <c r="G591" s="1926">
        <f>IS!E36</f>
        <v>189</v>
      </c>
      <c r="I591" s="1711">
        <v>176</v>
      </c>
      <c r="K591" s="1711"/>
    </row>
    <row r="592" spans="1:11" s="1918" customFormat="1" ht="12.75" hidden="1" customHeight="1">
      <c r="A592" s="1659"/>
      <c r="B592" s="1918" t="s">
        <v>2011</v>
      </c>
      <c r="G592" s="1926">
        <f>'TB 18'!E161</f>
        <v>38</v>
      </c>
      <c r="I592" s="1711">
        <v>271</v>
      </c>
      <c r="K592" s="1711"/>
    </row>
    <row r="593" spans="1:13" s="1918" customFormat="1" ht="12.75" hidden="1" customHeight="1">
      <c r="A593" s="1659"/>
      <c r="B593" s="1918" t="s">
        <v>2012</v>
      </c>
      <c r="G593" s="1926">
        <f>'TB 18'!E162</f>
        <v>189</v>
      </c>
      <c r="I593" s="1711">
        <v>95</v>
      </c>
      <c r="K593" s="1711"/>
    </row>
    <row r="594" spans="1:13" s="1918" customFormat="1" ht="9" customHeight="1">
      <c r="A594" s="1659"/>
      <c r="B594" s="1712"/>
      <c r="G594" s="1926"/>
      <c r="I594" s="1711"/>
      <c r="K594" s="1711"/>
    </row>
    <row r="595" spans="1:13" s="1918" customFormat="1">
      <c r="A595" s="1659"/>
      <c r="B595" s="1675" t="s">
        <v>2013</v>
      </c>
      <c r="G595" s="1926"/>
      <c r="I595" s="1711"/>
      <c r="K595" s="1711"/>
    </row>
    <row r="596" spans="1:13" s="1918" customFormat="1">
      <c r="A596" s="1659"/>
      <c r="B596" s="1918" t="s">
        <v>2014</v>
      </c>
      <c r="G596" s="1926">
        <f>IS!E31+IS!E34</f>
        <v>161</v>
      </c>
      <c r="I596" s="1711">
        <v>148</v>
      </c>
      <c r="K596" s="1711"/>
    </row>
    <row r="597" spans="1:13" s="1918" customFormat="1">
      <c r="A597" s="1659"/>
      <c r="B597" s="1918" t="s">
        <v>2015</v>
      </c>
      <c r="G597" s="1926">
        <f>'TB 18'!E166</f>
        <v>79</v>
      </c>
      <c r="I597" s="1711">
        <v>2</v>
      </c>
      <c r="K597" s="1711"/>
    </row>
    <row r="598" spans="1:13" s="1918" customFormat="1" ht="9" customHeight="1">
      <c r="A598" s="1659"/>
      <c r="B598" s="1692"/>
      <c r="G598" s="1926"/>
      <c r="I598" s="1711"/>
      <c r="K598" s="1711"/>
    </row>
    <row r="599" spans="1:13" s="1918" customFormat="1">
      <c r="A599" s="1659"/>
      <c r="B599" s="1675" t="s">
        <v>919</v>
      </c>
      <c r="G599" s="1926"/>
      <c r="I599" s="1711"/>
      <c r="K599" s="1711"/>
    </row>
    <row r="600" spans="1:13" s="1918" customFormat="1">
      <c r="A600" s="1659"/>
      <c r="B600" s="1918" t="s">
        <v>710</v>
      </c>
      <c r="G600" s="1926">
        <v>0</v>
      </c>
      <c r="I600" s="1711">
        <v>0</v>
      </c>
      <c r="K600" s="1711"/>
    </row>
    <row r="601" spans="1:13" s="1918" customFormat="1">
      <c r="A601" s="1659"/>
      <c r="B601" s="1918" t="s">
        <v>2560</v>
      </c>
      <c r="G601" s="1926">
        <v>0</v>
      </c>
      <c r="I601" s="1711">
        <v>242799</v>
      </c>
      <c r="K601" s="1711"/>
      <c r="M601" s="1918">
        <v>37500</v>
      </c>
    </row>
    <row r="602" spans="1:13" s="1918" customFormat="1">
      <c r="A602" s="1659"/>
      <c r="B602" s="1918" t="s">
        <v>733</v>
      </c>
      <c r="G602" s="1926">
        <f>'TB 18'!E179</f>
        <v>5</v>
      </c>
      <c r="I602" s="1711">
        <v>4</v>
      </c>
      <c r="K602" s="1711"/>
      <c r="M602" s="1918">
        <v>136500</v>
      </c>
    </row>
    <row r="603" spans="1:13" s="1918" customFormat="1" ht="9" customHeight="1">
      <c r="A603" s="1659"/>
      <c r="G603" s="1926"/>
      <c r="I603" s="1711"/>
      <c r="K603" s="1711"/>
      <c r="M603" s="1918">
        <v>-164000</v>
      </c>
    </row>
    <row r="604" spans="1:13" s="1918" customFormat="1" ht="12.75" customHeight="1">
      <c r="A604" s="1659"/>
      <c r="B604" s="1716" t="s">
        <v>1676</v>
      </c>
      <c r="G604" s="1926"/>
      <c r="I604" s="1711"/>
      <c r="K604" s="1711"/>
      <c r="M604" s="1918">
        <v>-37500</v>
      </c>
    </row>
    <row r="605" spans="1:13" s="1918" customFormat="1">
      <c r="A605" s="1659"/>
      <c r="B605" s="2838" t="s">
        <v>2550</v>
      </c>
      <c r="G605" s="1926">
        <v>14947.881126</v>
      </c>
      <c r="I605" s="1711">
        <v>11362</v>
      </c>
      <c r="J605" s="1918">
        <f>37500+136500-174500</f>
        <v>-500</v>
      </c>
      <c r="K605" s="1711"/>
    </row>
    <row r="606" spans="1:13" s="1918" customFormat="1">
      <c r="A606" s="1659"/>
      <c r="B606" s="2838" t="s">
        <v>2551</v>
      </c>
      <c r="G606" s="1926">
        <v>18948</v>
      </c>
      <c r="I606" s="1711">
        <v>2674</v>
      </c>
      <c r="J606" s="1918">
        <f>136500+37500</f>
        <v>174000</v>
      </c>
      <c r="K606" s="1711"/>
      <c r="L606" s="1711">
        <f>G606+4753</f>
        <v>23701</v>
      </c>
    </row>
    <row r="607" spans="1:13" s="1918" customFormat="1" ht="9" customHeight="1">
      <c r="A607" s="1659"/>
      <c r="G607" s="1926"/>
      <c r="I607" s="1711"/>
      <c r="K607" s="1711"/>
    </row>
    <row r="608" spans="1:13" s="1921" customFormat="1" ht="13.5" customHeight="1">
      <c r="A608" s="2016"/>
      <c r="B608" s="2835" t="s">
        <v>2374</v>
      </c>
      <c r="G608" s="1926"/>
      <c r="I608" s="1713"/>
      <c r="K608" s="1713"/>
    </row>
    <row r="609" spans="1:15" s="1918" customFormat="1">
      <c r="A609" s="1659"/>
      <c r="B609" s="1918" t="s">
        <v>2553</v>
      </c>
      <c r="G609" s="1926">
        <v>41419</v>
      </c>
      <c r="I609" s="1711">
        <v>968</v>
      </c>
      <c r="K609" s="1711">
        <v>524000</v>
      </c>
      <c r="M609" s="1918" t="s">
        <v>1455</v>
      </c>
    </row>
    <row r="610" spans="1:15" s="1918" customFormat="1">
      <c r="A610" s="1659"/>
      <c r="B610" s="1918" t="s">
        <v>2552</v>
      </c>
      <c r="G610" s="1926">
        <v>77212</v>
      </c>
      <c r="I610" s="1711">
        <v>0</v>
      </c>
      <c r="J610" s="1918">
        <f>147000</f>
        <v>147000</v>
      </c>
      <c r="K610" s="1711">
        <v>531500</v>
      </c>
    </row>
    <row r="611" spans="1:15" s="1918" customFormat="1" ht="9" customHeight="1">
      <c r="A611" s="1659"/>
      <c r="G611" s="1926"/>
      <c r="I611" s="1711"/>
      <c r="K611" s="1711">
        <v>-377500</v>
      </c>
    </row>
    <row r="612" spans="1:15" s="1918" customFormat="1" ht="12.75" customHeight="1">
      <c r="A612" s="1659"/>
      <c r="B612" s="2835" t="s">
        <v>1520</v>
      </c>
      <c r="G612" s="1926"/>
      <c r="I612" s="1711"/>
      <c r="K612" s="1711"/>
    </row>
    <row r="613" spans="1:15" s="1918" customFormat="1">
      <c r="A613" s="1659"/>
      <c r="B613" s="1918" t="s">
        <v>2555</v>
      </c>
      <c r="G613" s="1926">
        <v>1505</v>
      </c>
      <c r="I613" s="1711">
        <v>4741</v>
      </c>
      <c r="K613" s="1711"/>
    </row>
    <row r="614" spans="1:15" s="1918" customFormat="1">
      <c r="A614" s="1659"/>
      <c r="B614" s="1918" t="s">
        <v>2554</v>
      </c>
      <c r="G614" s="1926">
        <v>1471.415</v>
      </c>
      <c r="I614" s="1711">
        <v>218</v>
      </c>
      <c r="K614" s="1711"/>
    </row>
    <row r="615" spans="1:15" s="1918" customFormat="1">
      <c r="A615" s="1659"/>
      <c r="B615" s="1918" t="s">
        <v>2527</v>
      </c>
      <c r="G615" s="1926"/>
      <c r="I615" s="1711">
        <v>0</v>
      </c>
      <c r="K615" s="1711"/>
    </row>
    <row r="616" spans="1:15" s="1918" customFormat="1" ht="9" customHeight="1">
      <c r="A616" s="1659"/>
      <c r="G616" s="1926"/>
      <c r="I616" s="1711"/>
      <c r="K616" s="1711"/>
    </row>
    <row r="617" spans="1:15" s="1918" customFormat="1" ht="12.75" customHeight="1" thickBot="1">
      <c r="A617" s="1659"/>
      <c r="B617" s="2835" t="s">
        <v>2476</v>
      </c>
      <c r="G617" s="1747"/>
      <c r="I617" s="1711"/>
      <c r="K617" s="2836">
        <v>52500</v>
      </c>
      <c r="M617" s="1724">
        <f>K617+K618+K619+K624</f>
        <v>531500</v>
      </c>
    </row>
    <row r="618" spans="1:15" s="1918" customFormat="1" ht="14.25" customHeight="1" thickBot="1">
      <c r="A618" s="1659"/>
      <c r="B618" s="1918" t="s">
        <v>2556</v>
      </c>
      <c r="G618" s="1926">
        <v>12936.875</v>
      </c>
      <c r="I618" s="1711">
        <v>0</v>
      </c>
      <c r="K618" s="2836">
        <v>154500</v>
      </c>
      <c r="L618" s="1918">
        <f>217500+160000</f>
        <v>377500</v>
      </c>
      <c r="N618" s="2381">
        <v>1306500</v>
      </c>
      <c r="O618" s="1918">
        <f>5393505+4119740</f>
        <v>9513245</v>
      </c>
    </row>
    <row r="619" spans="1:15" s="1918" customFormat="1" ht="15" customHeight="1" thickBot="1">
      <c r="A619" s="1659"/>
      <c r="B619" s="1918" t="s">
        <v>2557</v>
      </c>
      <c r="G619" s="1926">
        <f>9513.245+12964</f>
        <v>22477.245000000003</v>
      </c>
      <c r="I619" s="1711">
        <v>0</v>
      </c>
      <c r="K619" s="2837">
        <v>170500</v>
      </c>
      <c r="N619" s="2381">
        <v>3947700</v>
      </c>
      <c r="O619" s="2269">
        <f>O618/1000</f>
        <v>9513.2450000000008</v>
      </c>
    </row>
    <row r="620" spans="1:15" s="1918" customFormat="1" ht="9.75" customHeight="1" thickBot="1">
      <c r="A620" s="1659"/>
      <c r="G620" s="1926"/>
      <c r="I620" s="1711"/>
      <c r="K620" s="2837"/>
      <c r="N620" s="2381"/>
      <c r="O620" s="2269"/>
    </row>
    <row r="621" spans="1:15" s="1918" customFormat="1" ht="15" customHeight="1" thickBot="1">
      <c r="A621" s="1659"/>
      <c r="B621" s="2835" t="s">
        <v>2498</v>
      </c>
      <c r="G621" s="1926"/>
      <c r="I621" s="1711"/>
      <c r="K621" s="2837"/>
      <c r="N621" s="2381"/>
      <c r="O621" s="2269"/>
    </row>
    <row r="622" spans="1:15" s="1918" customFormat="1" ht="15" customHeight="1" thickBot="1">
      <c r="A622" s="1659"/>
      <c r="B622" s="1918" t="s">
        <v>2558</v>
      </c>
      <c r="G622" s="1926">
        <v>1733</v>
      </c>
      <c r="I622" s="1711">
        <v>0</v>
      </c>
      <c r="K622" s="2837"/>
      <c r="M622" s="1918">
        <f>91000+78000+37000</f>
        <v>206000</v>
      </c>
      <c r="N622" s="2381"/>
      <c r="O622" s="2269"/>
    </row>
    <row r="623" spans="1:15" s="1918" customFormat="1" ht="15" customHeight="1" thickBot="1">
      <c r="A623" s="1659"/>
      <c r="B623" s="1918" t="s">
        <v>2559</v>
      </c>
      <c r="G623" s="1926">
        <v>1176</v>
      </c>
      <c r="I623" s="1711">
        <v>0</v>
      </c>
      <c r="K623" s="2837"/>
      <c r="N623" s="2381"/>
      <c r="O623" s="2269"/>
    </row>
    <row r="624" spans="1:15" s="1918" customFormat="1" ht="9" customHeight="1" thickBot="1">
      <c r="A624" s="1659"/>
      <c r="G624" s="1747"/>
      <c r="I624" s="1711"/>
      <c r="K624" s="2837">
        <v>154000</v>
      </c>
      <c r="N624" s="2381">
        <v>4189240</v>
      </c>
    </row>
    <row r="625" spans="1:14" s="1940" customFormat="1" ht="11.25">
      <c r="A625" s="2154" t="s">
        <v>1511</v>
      </c>
      <c r="B625" s="3018" t="s">
        <v>2229</v>
      </c>
      <c r="C625" s="3018"/>
      <c r="D625" s="3018"/>
      <c r="E625" s="3018"/>
      <c r="F625" s="3018"/>
      <c r="G625" s="3018"/>
      <c r="H625" s="3018"/>
      <c r="I625" s="3018"/>
      <c r="J625" s="1968"/>
      <c r="K625" s="1941"/>
      <c r="N625" s="2380">
        <v>3493435</v>
      </c>
    </row>
    <row r="626" spans="1:14" s="1940" customFormat="1" ht="11.25">
      <c r="A626" s="2154"/>
      <c r="B626" s="3018"/>
      <c r="C626" s="3018"/>
      <c r="D626" s="3018"/>
      <c r="E626" s="3018"/>
      <c r="F626" s="3018"/>
      <c r="G626" s="3018"/>
      <c r="H626" s="3018"/>
      <c r="I626" s="3018"/>
      <c r="J626" s="1968"/>
      <c r="K626" s="1941"/>
      <c r="N626" s="2380">
        <f>SUM(N618:N625)</f>
        <v>12936875</v>
      </c>
    </row>
    <row r="627" spans="1:14" s="1940" customFormat="1" ht="11.25">
      <c r="A627" s="2065"/>
      <c r="B627" s="3018"/>
      <c r="C627" s="3018"/>
      <c r="D627" s="3018"/>
      <c r="E627" s="3018"/>
      <c r="F627" s="3018"/>
      <c r="G627" s="3018"/>
      <c r="H627" s="3018"/>
      <c r="I627" s="3018"/>
      <c r="J627" s="1968"/>
      <c r="K627" s="1941"/>
      <c r="N627" s="1965">
        <f>N626/1000</f>
        <v>12936.875</v>
      </c>
    </row>
    <row r="628" spans="1:14" s="1918" customFormat="1" ht="9" customHeight="1">
      <c r="A628" s="1659"/>
      <c r="I628" s="1711"/>
      <c r="K628" s="1711"/>
    </row>
    <row r="629" spans="1:14" s="1918" customFormat="1">
      <c r="G629" s="1651" t="s">
        <v>1918</v>
      </c>
      <c r="H629" s="1652"/>
      <c r="I629" s="1651" t="s">
        <v>1917</v>
      </c>
      <c r="K629" s="1711"/>
    </row>
    <row r="630" spans="1:14" s="1918" customFormat="1">
      <c r="G630" s="2206" t="s">
        <v>2474</v>
      </c>
      <c r="H630" s="1652"/>
      <c r="I630" s="2206" t="s">
        <v>2474</v>
      </c>
      <c r="K630" s="1711"/>
    </row>
    <row r="631" spans="1:14" s="1918" customFormat="1">
      <c r="A631" s="1786">
        <f>A582+0.1</f>
        <v>14.299999999999999</v>
      </c>
      <c r="B631" s="1675" t="s">
        <v>2018</v>
      </c>
      <c r="G631" s="2271" t="s">
        <v>1919</v>
      </c>
      <c r="H631" s="1915"/>
      <c r="I631" s="1589" t="s">
        <v>1916</v>
      </c>
      <c r="K631" s="1711"/>
    </row>
    <row r="632" spans="1:14" s="1918" customFormat="1">
      <c r="H632" s="1655" t="s">
        <v>2020</v>
      </c>
      <c r="I632" s="1656"/>
      <c r="K632" s="1711"/>
    </row>
    <row r="633" spans="1:14" s="1918" customFormat="1">
      <c r="A633" s="1659"/>
      <c r="B633" s="1743" t="s">
        <v>2128</v>
      </c>
      <c r="K633" s="1711"/>
    </row>
    <row r="634" spans="1:14" s="1918" customFormat="1">
      <c r="A634" s="1659"/>
      <c r="B634" s="1719" t="s">
        <v>922</v>
      </c>
      <c r="G634" s="1926">
        <f>G408</f>
        <v>966</v>
      </c>
      <c r="I634" s="1711">
        <v>1052</v>
      </c>
      <c r="J634" s="1918">
        <f>206000-128000</f>
        <v>78000</v>
      </c>
      <c r="K634" s="1711"/>
    </row>
    <row r="635" spans="1:14" s="1918" customFormat="1">
      <c r="A635" s="1659"/>
      <c r="B635" s="1719" t="s">
        <v>2475</v>
      </c>
      <c r="G635" s="1926">
        <f>G409</f>
        <v>125</v>
      </c>
      <c r="I635" s="1711">
        <v>136</v>
      </c>
      <c r="K635" s="1711"/>
    </row>
    <row r="636" spans="1:14" s="1918" customFormat="1">
      <c r="A636" s="1659"/>
      <c r="B636" s="1719" t="s">
        <v>2264</v>
      </c>
      <c r="G636" s="1926">
        <f>G411</f>
        <v>165</v>
      </c>
      <c r="I636" s="1711">
        <v>0</v>
      </c>
      <c r="K636" s="1711"/>
    </row>
    <row r="637" spans="1:14" s="1918" customFormat="1">
      <c r="A637" s="1659"/>
      <c r="B637" s="1719" t="s">
        <v>923</v>
      </c>
      <c r="G637" s="1926">
        <f>G410</f>
        <v>11</v>
      </c>
      <c r="I637" s="1711">
        <v>21</v>
      </c>
      <c r="K637" s="1711"/>
    </row>
    <row r="638" spans="1:14" s="1918" customFormat="1">
      <c r="A638" s="1659"/>
      <c r="B638" s="1719" t="s">
        <v>2054</v>
      </c>
      <c r="G638" s="1926">
        <f>G412</f>
        <v>70</v>
      </c>
      <c r="I638" s="1711">
        <v>54</v>
      </c>
      <c r="J638" s="1711"/>
      <c r="K638" s="1747"/>
    </row>
    <row r="639" spans="1:14" s="1918" customFormat="1" ht="9" customHeight="1">
      <c r="A639" s="1659"/>
      <c r="B639" s="1719"/>
      <c r="G639" s="1727"/>
      <c r="K639" s="1711"/>
    </row>
    <row r="640" spans="1:14" s="1918" customFormat="1">
      <c r="A640" s="1659"/>
      <c r="B640" s="1743" t="s">
        <v>918</v>
      </c>
      <c r="G640" s="1727"/>
      <c r="K640" s="1711"/>
    </row>
    <row r="641" spans="1:11" s="1918" customFormat="1">
      <c r="A641" s="1659"/>
      <c r="B641" s="1719" t="s">
        <v>922</v>
      </c>
      <c r="G641" s="1926">
        <f>'TB 18'!F104</f>
        <v>8</v>
      </c>
      <c r="I641" s="1711">
        <v>42</v>
      </c>
      <c r="K641" s="1711"/>
    </row>
    <row r="642" spans="1:11" s="1918" customFormat="1">
      <c r="A642" s="1659"/>
      <c r="B642" s="1719" t="s">
        <v>924</v>
      </c>
      <c r="G642" s="1926">
        <f>'TB 18'!F106</f>
        <v>55</v>
      </c>
      <c r="I642" s="1711">
        <v>6</v>
      </c>
      <c r="K642" s="1711"/>
    </row>
    <row r="643" spans="1:11" s="1918" customFormat="1">
      <c r="A643" s="1659"/>
      <c r="B643" s="1719" t="s">
        <v>925</v>
      </c>
      <c r="G643" s="1926">
        <f>'TB 18'!E80</f>
        <v>21</v>
      </c>
      <c r="I643" s="1711">
        <v>200</v>
      </c>
      <c r="K643" s="1711"/>
    </row>
    <row r="644" spans="1:11" s="1918" customFormat="1" ht="9" customHeight="1">
      <c r="A644" s="1659"/>
      <c r="B644" s="1719"/>
      <c r="G644" s="1926"/>
      <c r="I644" s="1711"/>
      <c r="K644" s="1711"/>
    </row>
    <row r="645" spans="1:11" s="1918" customFormat="1" ht="12.75" hidden="1" customHeight="1">
      <c r="A645" s="1659"/>
      <c r="B645" s="1743" t="s">
        <v>2016</v>
      </c>
      <c r="G645" s="1727"/>
      <c r="I645" s="1657"/>
      <c r="J645" s="1727"/>
      <c r="K645" s="1711"/>
    </row>
    <row r="646" spans="1:11" s="1918" customFormat="1" ht="12.75" hidden="1" customHeight="1">
      <c r="A646" s="1659"/>
      <c r="B646" s="1719" t="s">
        <v>2021</v>
      </c>
      <c r="G646" s="1926">
        <v>0</v>
      </c>
      <c r="I646" s="1657">
        <v>0</v>
      </c>
      <c r="J646" s="1727"/>
      <c r="K646" s="1711"/>
    </row>
    <row r="647" spans="1:11" s="1918" customFormat="1" hidden="1">
      <c r="A647" s="1659"/>
      <c r="B647" s="1719"/>
      <c r="G647" s="1727"/>
      <c r="I647" s="1657"/>
      <c r="J647" s="1727"/>
      <c r="K647" s="1711"/>
    </row>
    <row r="648" spans="1:11" s="1918" customFormat="1">
      <c r="A648" s="1659"/>
      <c r="B648" s="1743" t="s">
        <v>919</v>
      </c>
      <c r="G648" s="1727"/>
      <c r="I648" s="1727"/>
      <c r="J648" s="1727"/>
      <c r="K648" s="1711"/>
    </row>
    <row r="649" spans="1:11" s="1918" customFormat="1">
      <c r="A649" s="1659"/>
      <c r="B649" s="1719" t="s">
        <v>2163</v>
      </c>
      <c r="G649" s="1926">
        <f>'TB 18'!H12</f>
        <v>10768</v>
      </c>
      <c r="I649" s="1926">
        <v>7683</v>
      </c>
      <c r="J649" s="1727"/>
      <c r="K649" s="1711"/>
    </row>
    <row r="650" spans="1:11">
      <c r="A650" s="1857"/>
      <c r="B650" s="1719"/>
      <c r="G650" s="1613"/>
      <c r="I650" s="2418"/>
    </row>
    <row r="651" spans="1:11">
      <c r="A651" s="1857"/>
      <c r="B651" s="1716" t="s">
        <v>1676</v>
      </c>
      <c r="G651" s="1613"/>
      <c r="I651" s="2418"/>
    </row>
    <row r="652" spans="1:11">
      <c r="A652" s="1857"/>
      <c r="B652" s="1727" t="s">
        <v>2522</v>
      </c>
      <c r="G652" s="1613">
        <v>884.2</v>
      </c>
      <c r="I652" s="1613">
        <v>4422</v>
      </c>
      <c r="K652" s="1727">
        <f>37500+136500-164000</f>
        <v>10000</v>
      </c>
    </row>
    <row r="653" spans="1:11">
      <c r="A653" s="1857"/>
      <c r="B653" s="1719"/>
      <c r="G653" s="1613"/>
      <c r="I653" s="2418"/>
    </row>
    <row r="654" spans="1:11">
      <c r="A654" s="1857"/>
      <c r="B654" s="1716" t="s">
        <v>2476</v>
      </c>
      <c r="G654" s="1613"/>
      <c r="I654" s="2418"/>
    </row>
    <row r="655" spans="1:11">
      <c r="A655" s="1857"/>
      <c r="B655" s="2810" t="s">
        <v>2523</v>
      </c>
      <c r="G655" s="1613">
        <v>3204.74</v>
      </c>
      <c r="I655" s="1613">
        <v>13053</v>
      </c>
    </row>
    <row r="656" spans="1:11">
      <c r="A656" s="1857"/>
      <c r="B656" s="2810"/>
      <c r="G656" s="1613"/>
      <c r="I656" s="1613"/>
    </row>
    <row r="657" spans="1:13">
      <c r="A657" s="1857"/>
      <c r="B657" s="2829" t="s">
        <v>2374</v>
      </c>
      <c r="G657" s="1613"/>
      <c r="I657" s="1613"/>
      <c r="K657" s="1727">
        <f>524000+531500-901500</f>
        <v>154000</v>
      </c>
    </row>
    <row r="658" spans="1:13">
      <c r="A658" s="1857"/>
      <c r="B658" s="2810" t="s">
        <v>2528</v>
      </c>
      <c r="G658" s="1613">
        <f>'Note 6.1'!I110</f>
        <v>34688.76</v>
      </c>
      <c r="I658" s="1613">
        <v>0</v>
      </c>
    </row>
    <row r="659" spans="1:13">
      <c r="A659" s="1857"/>
      <c r="B659" s="2810"/>
      <c r="G659" s="1613"/>
      <c r="I659" s="1613"/>
    </row>
    <row r="660" spans="1:13">
      <c r="A660" s="1857"/>
      <c r="B660" s="2829" t="s">
        <v>1520</v>
      </c>
      <c r="G660" s="1613"/>
      <c r="I660" s="1613"/>
    </row>
    <row r="661" spans="1:13">
      <c r="A661" s="1857"/>
      <c r="B661" s="2810" t="s">
        <v>2529</v>
      </c>
      <c r="G661" s="1613">
        <f>'Note 6.1'!I111</f>
        <v>45.43</v>
      </c>
      <c r="I661" s="1613">
        <v>0</v>
      </c>
    </row>
    <row r="662" spans="1:13">
      <c r="A662" s="1857"/>
      <c r="B662" s="2810"/>
      <c r="G662" s="1613"/>
      <c r="I662" s="1613"/>
    </row>
    <row r="663" spans="1:13">
      <c r="A663" s="1857"/>
      <c r="B663" s="2839" t="s">
        <v>2498</v>
      </c>
      <c r="G663" s="1613"/>
      <c r="I663" s="1613"/>
    </row>
    <row r="664" spans="1:13">
      <c r="A664" s="1857"/>
      <c r="B664" s="2810" t="s">
        <v>2530</v>
      </c>
      <c r="G664" s="1613">
        <v>547.55999999999995</v>
      </c>
      <c r="I664" s="1613">
        <v>0</v>
      </c>
    </row>
    <row r="665" spans="1:13">
      <c r="A665" s="1857"/>
      <c r="B665" s="1719"/>
      <c r="G665" s="1613"/>
      <c r="I665" s="2418"/>
    </row>
    <row r="666" spans="1:13">
      <c r="A666" s="1857"/>
      <c r="B666" s="1918"/>
    </row>
    <row r="667" spans="1:13" s="1755" customFormat="1" hidden="1">
      <c r="A667" s="1812" t="s">
        <v>2273</v>
      </c>
      <c r="B667" s="1675" t="s">
        <v>1922</v>
      </c>
    </row>
    <row r="668" spans="1:13" s="1755" customFormat="1" hidden="1">
      <c r="A668" s="1618"/>
    </row>
    <row r="669" spans="1:13" s="1755" customFormat="1" hidden="1">
      <c r="A669" s="1618"/>
      <c r="B669" s="2973" t="s">
        <v>2265</v>
      </c>
      <c r="C669" s="2973"/>
      <c r="D669" s="2973"/>
      <c r="E669" s="2973"/>
      <c r="F669" s="2973"/>
      <c r="G669" s="2973"/>
      <c r="H669" s="2973"/>
      <c r="I669" s="2973"/>
      <c r="J669" s="2276"/>
      <c r="K669" s="2276"/>
      <c r="L669" s="2276"/>
      <c r="M669" s="2276"/>
    </row>
    <row r="670" spans="1:13" s="1755" customFormat="1" hidden="1">
      <c r="A670" s="1618"/>
      <c r="B670" s="2973"/>
      <c r="C670" s="2973"/>
      <c r="D670" s="2973"/>
      <c r="E670" s="2973"/>
      <c r="F670" s="2973"/>
      <c r="G670" s="2973"/>
      <c r="H670" s="2973"/>
      <c r="I670" s="2973"/>
      <c r="J670" s="2276"/>
      <c r="K670" s="2276"/>
      <c r="L670" s="2276"/>
      <c r="M670" s="2276"/>
    </row>
    <row r="671" spans="1:13" s="1755" customFormat="1" hidden="1">
      <c r="A671" s="1618"/>
      <c r="B671" s="2973"/>
      <c r="C671" s="2973"/>
      <c r="D671" s="2973"/>
      <c r="E671" s="2973"/>
      <c r="F671" s="2973"/>
      <c r="G671" s="2973"/>
      <c r="H671" s="2973"/>
      <c r="I671" s="2973"/>
      <c r="J671" s="2276"/>
      <c r="K671" s="2276"/>
      <c r="L671" s="2276"/>
      <c r="M671" s="2276"/>
    </row>
    <row r="672" spans="1:13" s="1755" customFormat="1" hidden="1">
      <c r="A672" s="1618"/>
      <c r="B672" s="2973"/>
      <c r="C672" s="2973"/>
      <c r="D672" s="2973"/>
      <c r="E672" s="2973"/>
      <c r="F672" s="2973"/>
      <c r="G672" s="2973"/>
      <c r="H672" s="2973"/>
      <c r="I672" s="2973"/>
      <c r="J672" s="2276"/>
      <c r="K672" s="2276"/>
      <c r="L672" s="2276"/>
      <c r="M672" s="2276"/>
    </row>
    <row r="673" spans="1:13" s="1755" customFormat="1" hidden="1">
      <c r="A673" s="1618"/>
      <c r="B673" s="2276"/>
      <c r="C673" s="2276"/>
      <c r="D673" s="2276"/>
      <c r="E673" s="2276"/>
      <c r="F673" s="2276"/>
      <c r="G673" s="2276"/>
      <c r="H673" s="2276"/>
      <c r="I673" s="2276"/>
      <c r="J673" s="2276"/>
      <c r="K673" s="2276"/>
      <c r="L673" s="2276"/>
      <c r="M673" s="2276"/>
    </row>
    <row r="674" spans="1:13" hidden="1">
      <c r="A674" s="1812" t="e">
        <f>A667+1</f>
        <v>#VALUE!</v>
      </c>
      <c r="B674" s="1694" t="s">
        <v>2027</v>
      </c>
      <c r="C674" s="2276"/>
      <c r="D674" s="2276"/>
      <c r="H674" s="2276"/>
      <c r="I674" s="2276"/>
    </row>
    <row r="675" spans="1:13" ht="9.9499999999999993" hidden="1" customHeight="1">
      <c r="A675" s="1679"/>
      <c r="B675" s="2276"/>
      <c r="C675" s="2276"/>
      <c r="D675" s="2276"/>
      <c r="H675" s="2276"/>
      <c r="I675" s="2276"/>
    </row>
    <row r="676" spans="1:13" hidden="1">
      <c r="A676" s="1679"/>
      <c r="B676" s="2974" t="s">
        <v>2104</v>
      </c>
      <c r="C676" s="2974"/>
      <c r="D676" s="2974"/>
      <c r="E676" s="2974"/>
      <c r="F676" s="2974"/>
      <c r="G676" s="2974"/>
      <c r="H676" s="2974"/>
      <c r="I676" s="2974"/>
    </row>
    <row r="677" spans="1:13" hidden="1">
      <c r="A677" s="1679"/>
      <c r="B677" s="2974"/>
      <c r="C677" s="2974"/>
      <c r="D677" s="2974"/>
      <c r="E677" s="2974"/>
      <c r="F677" s="2974"/>
      <c r="G677" s="2974"/>
      <c r="H677" s="2974"/>
      <c r="I677" s="2974"/>
    </row>
    <row r="678" spans="1:13" ht="9.9499999999999993" hidden="1" customHeight="1">
      <c r="A678" s="1679"/>
      <c r="B678" s="2276"/>
      <c r="C678" s="2276"/>
      <c r="D678" s="2276"/>
      <c r="H678" s="2276"/>
      <c r="I678" s="2276"/>
    </row>
    <row r="679" spans="1:13" hidden="1">
      <c r="A679" s="1679"/>
      <c r="B679" s="2973" t="s">
        <v>1049</v>
      </c>
      <c r="C679" s="2973"/>
      <c r="D679" s="2973"/>
      <c r="E679" s="2973"/>
      <c r="F679" s="2973"/>
      <c r="G679" s="2973"/>
      <c r="H679" s="2973"/>
      <c r="I679" s="2973"/>
    </row>
    <row r="680" spans="1:13" hidden="1">
      <c r="A680" s="1679"/>
      <c r="B680" s="2973"/>
      <c r="C680" s="2973"/>
      <c r="D680" s="2973"/>
      <c r="E680" s="2973"/>
      <c r="F680" s="2973"/>
      <c r="G680" s="2973"/>
      <c r="H680" s="2973"/>
      <c r="I680" s="2973"/>
    </row>
    <row r="681" spans="1:13" ht="9.9499999999999993" hidden="1" customHeight="1">
      <c r="A681" s="1679"/>
      <c r="B681" s="2276"/>
      <c r="C681" s="2276"/>
      <c r="D681" s="2276"/>
      <c r="H681" s="2276"/>
      <c r="I681" s="2276"/>
    </row>
    <row r="682" spans="1:13" hidden="1">
      <c r="A682" s="1679"/>
      <c r="B682" s="2997" t="s">
        <v>2231</v>
      </c>
      <c r="C682" s="2997"/>
      <c r="D682" s="2997"/>
      <c r="E682" s="2997"/>
      <c r="F682" s="2997"/>
      <c r="G682" s="2997"/>
      <c r="H682" s="2997"/>
      <c r="I682" s="2997"/>
    </row>
    <row r="683" spans="1:13" hidden="1">
      <c r="A683" s="1679"/>
      <c r="B683" s="2997"/>
      <c r="C683" s="2997"/>
      <c r="D683" s="2997"/>
      <c r="E683" s="2997"/>
      <c r="F683" s="2997"/>
      <c r="G683" s="2997"/>
      <c r="H683" s="2997"/>
      <c r="I683" s="2997"/>
    </row>
    <row r="684" spans="1:13" hidden="1">
      <c r="A684" s="1679"/>
      <c r="B684" s="2997"/>
      <c r="C684" s="2997"/>
      <c r="D684" s="2997"/>
      <c r="E684" s="2997"/>
      <c r="F684" s="2997"/>
      <c r="G684" s="2997"/>
      <c r="H684" s="2997"/>
      <c r="I684" s="2997"/>
    </row>
    <row r="685" spans="1:13" ht="9.9499999999999993" hidden="1" customHeight="1">
      <c r="A685" s="1679"/>
      <c r="B685" s="2304"/>
      <c r="C685" s="2304"/>
      <c r="D685" s="2304"/>
      <c r="E685" s="2304"/>
      <c r="F685" s="2304"/>
      <c r="G685" s="2304"/>
      <c r="H685" s="2304"/>
      <c r="I685" s="2304"/>
    </row>
    <row r="686" spans="1:13" hidden="1">
      <c r="A686" s="1927" t="e">
        <f>A674+0.1</f>
        <v>#VALUE!</v>
      </c>
      <c r="B686" s="1694" t="s">
        <v>2028</v>
      </c>
    </row>
    <row r="687" spans="1:13" ht="9.9499999999999993" hidden="1" customHeight="1">
      <c r="A687" s="1927"/>
      <c r="B687" s="1694"/>
    </row>
    <row r="688" spans="1:13" hidden="1">
      <c r="B688" s="2973" t="s">
        <v>2029</v>
      </c>
      <c r="C688" s="2973"/>
      <c r="D688" s="2973"/>
      <c r="E688" s="2973"/>
      <c r="F688" s="2973"/>
      <c r="G688" s="2973"/>
      <c r="H688" s="2973"/>
      <c r="I688" s="2973"/>
    </row>
    <row r="689" spans="1:9" hidden="1">
      <c r="A689" s="2304"/>
      <c r="B689" s="2973"/>
      <c r="C689" s="2973"/>
      <c r="D689" s="2973"/>
      <c r="E689" s="2973"/>
      <c r="F689" s="2973"/>
      <c r="G689" s="2973"/>
      <c r="H689" s="2973"/>
      <c r="I689" s="2973"/>
    </row>
    <row r="690" spans="1:9" hidden="1">
      <c r="A690" s="2304"/>
      <c r="B690" s="2973"/>
      <c r="C690" s="2973"/>
      <c r="D690" s="2973"/>
      <c r="E690" s="2973"/>
      <c r="F690" s="2973"/>
      <c r="G690" s="2973"/>
      <c r="H690" s="2973"/>
      <c r="I690" s="2973"/>
    </row>
    <row r="691" spans="1:9" ht="9.9499999999999993" hidden="1" customHeight="1">
      <c r="A691" s="1679"/>
      <c r="B691" s="2277"/>
      <c r="C691" s="2277"/>
      <c r="D691" s="2277"/>
      <c r="E691" s="2277"/>
      <c r="F691" s="2277"/>
      <c r="G691" s="2277"/>
      <c r="H691" s="2277"/>
      <c r="I691" s="2277"/>
    </row>
    <row r="692" spans="1:9" hidden="1">
      <c r="A692" s="1679"/>
      <c r="B692" s="1704" t="s">
        <v>2124</v>
      </c>
      <c r="C692" s="1692"/>
      <c r="D692" s="1692"/>
      <c r="E692" s="1692"/>
      <c r="F692" s="1687"/>
      <c r="G692" s="1687"/>
      <c r="H692" s="1687"/>
      <c r="I692" s="1687"/>
    </row>
    <row r="693" spans="1:9" ht="9.9499999999999993" hidden="1" customHeight="1">
      <c r="A693" s="1679"/>
      <c r="B693" s="1692"/>
      <c r="C693" s="1692"/>
      <c r="D693" s="1692"/>
      <c r="E693" s="1692"/>
      <c r="F693" s="1687"/>
      <c r="G693" s="1687"/>
      <c r="H693" s="1687"/>
      <c r="I693" s="1687"/>
    </row>
    <row r="694" spans="1:9" hidden="1">
      <c r="A694" s="1679"/>
      <c r="B694" s="2998" t="s">
        <v>2125</v>
      </c>
      <c r="C694" s="2998"/>
      <c r="D694" s="2998"/>
      <c r="E694" s="2998"/>
      <c r="F694" s="2998"/>
      <c r="G694" s="2998"/>
      <c r="H694" s="2998"/>
      <c r="I694" s="2998"/>
    </row>
    <row r="695" spans="1:9" hidden="1">
      <c r="A695" s="1679"/>
      <c r="B695" s="2998"/>
      <c r="C695" s="2998"/>
      <c r="D695" s="2998"/>
      <c r="E695" s="2998"/>
      <c r="F695" s="2998"/>
      <c r="G695" s="2998"/>
      <c r="H695" s="2998"/>
      <c r="I695" s="2998"/>
    </row>
    <row r="696" spans="1:9" ht="9.9499999999999993" hidden="1" customHeight="1">
      <c r="A696" s="1679"/>
      <c r="B696" s="1692"/>
      <c r="C696" s="1692"/>
      <c r="D696" s="1692"/>
      <c r="E696" s="1692"/>
      <c r="F696" s="1687"/>
      <c r="G696" s="1687"/>
      <c r="H696" s="1687"/>
      <c r="I696" s="1687"/>
    </row>
    <row r="697" spans="1:9" hidden="1">
      <c r="A697" s="1679"/>
      <c r="B697" s="1704" t="s">
        <v>2126</v>
      </c>
      <c r="C697" s="1692"/>
      <c r="D697" s="1692"/>
      <c r="E697" s="1692"/>
      <c r="F697" s="1687"/>
      <c r="G697" s="1687"/>
      <c r="H697" s="1687"/>
      <c r="I697" s="1687"/>
    </row>
    <row r="698" spans="1:9" ht="12" hidden="1" customHeight="1">
      <c r="A698" s="1679"/>
      <c r="B698" s="2276"/>
      <c r="C698" s="2276"/>
      <c r="D698" s="2276"/>
      <c r="E698" s="2276"/>
    </row>
    <row r="699" spans="1:9" ht="12" hidden="1" customHeight="1">
      <c r="A699" s="1679"/>
      <c r="B699" s="2276"/>
      <c r="C699" s="2276"/>
      <c r="D699" s="2276"/>
      <c r="E699" s="2276"/>
    </row>
    <row r="700" spans="1:9" ht="12" hidden="1" customHeight="1">
      <c r="A700" s="1679"/>
      <c r="B700" s="2276"/>
      <c r="C700" s="2276"/>
      <c r="D700" s="2276"/>
      <c r="E700" s="2276"/>
    </row>
    <row r="701" spans="1:9" ht="15" hidden="1" customHeight="1">
      <c r="A701" s="2305" t="s">
        <v>1870</v>
      </c>
      <c r="B701" s="1694" t="s">
        <v>915</v>
      </c>
      <c r="C701" s="1692"/>
      <c r="D701" s="1692"/>
      <c r="E701" s="1759"/>
    </row>
    <row r="702" spans="1:9" ht="12" hidden="1" customHeight="1">
      <c r="A702" s="1692"/>
      <c r="B702" s="1692"/>
      <c r="C702" s="1692"/>
      <c r="D702" s="1692"/>
      <c r="E702" s="1692"/>
    </row>
    <row r="703" spans="1:9" ht="15" hidden="1" customHeight="1">
      <c r="A703" s="1692"/>
      <c r="B703" s="2966" t="s">
        <v>2030</v>
      </c>
      <c r="C703" s="2966"/>
      <c r="D703" s="2966"/>
      <c r="E703" s="2966"/>
      <c r="F703" s="2966"/>
      <c r="G703" s="2966"/>
      <c r="H703" s="2966"/>
      <c r="I703" s="2966"/>
    </row>
    <row r="704" spans="1:9" ht="15" hidden="1" customHeight="1">
      <c r="A704" s="1692"/>
      <c r="B704" s="2966"/>
      <c r="C704" s="2966"/>
      <c r="D704" s="2966"/>
      <c r="E704" s="2966"/>
      <c r="F704" s="2966"/>
      <c r="G704" s="2966"/>
      <c r="H704" s="2966"/>
      <c r="I704" s="2966"/>
    </row>
    <row r="705" spans="1:9" ht="15" hidden="1" customHeight="1">
      <c r="A705" s="1692"/>
      <c r="B705" s="2966"/>
      <c r="C705" s="2966"/>
      <c r="D705" s="2966"/>
      <c r="E705" s="2966"/>
      <c r="F705" s="2966"/>
      <c r="G705" s="2966"/>
      <c r="H705" s="2966"/>
      <c r="I705" s="2966"/>
    </row>
    <row r="706" spans="1:9" ht="15" hidden="1" customHeight="1">
      <c r="A706" s="1692"/>
      <c r="B706" s="2966"/>
      <c r="C706" s="2966"/>
      <c r="D706" s="2966"/>
      <c r="E706" s="2966"/>
      <c r="F706" s="2966"/>
      <c r="G706" s="2966"/>
      <c r="H706" s="2966"/>
      <c r="I706" s="2966"/>
    </row>
    <row r="707" spans="1:9" ht="15" hidden="1" customHeight="1">
      <c r="A707" s="1692"/>
      <c r="B707" s="2966"/>
      <c r="C707" s="2966"/>
      <c r="D707" s="2966"/>
      <c r="E707" s="2966"/>
      <c r="F707" s="2966"/>
      <c r="G707" s="2966"/>
      <c r="H707" s="2966"/>
      <c r="I707" s="2966"/>
    </row>
    <row r="708" spans="1:9" ht="17.25" hidden="1" customHeight="1">
      <c r="A708" s="1692"/>
      <c r="B708" s="2966"/>
      <c r="C708" s="2966"/>
      <c r="D708" s="2966"/>
      <c r="E708" s="2966"/>
      <c r="F708" s="2966"/>
      <c r="G708" s="2966"/>
      <c r="H708" s="2966"/>
      <c r="I708" s="2966"/>
    </row>
    <row r="709" spans="1:9" ht="15" hidden="1" customHeight="1">
      <c r="A709" s="1692"/>
      <c r="B709" s="2966"/>
      <c r="C709" s="2966"/>
      <c r="D709" s="2966"/>
      <c r="E709" s="2966"/>
      <c r="F709" s="2966"/>
      <c r="G709" s="2966"/>
      <c r="H709" s="2966"/>
      <c r="I709" s="2966"/>
    </row>
    <row r="710" spans="1:9" ht="12" hidden="1" customHeight="1">
      <c r="A710" s="1692"/>
      <c r="B710" s="2284"/>
      <c r="C710" s="2284"/>
      <c r="D710" s="2284"/>
      <c r="E710" s="2284"/>
    </row>
    <row r="711" spans="1:9" hidden="1">
      <c r="A711" s="2305" t="s">
        <v>1870</v>
      </c>
      <c r="B711" s="1694" t="s">
        <v>1923</v>
      </c>
      <c r="C711" s="1692"/>
      <c r="D711" s="1692"/>
      <c r="E711" s="1692"/>
    </row>
    <row r="712" spans="1:9" ht="12" hidden="1" customHeight="1">
      <c r="A712" s="1681"/>
      <c r="B712" s="1692"/>
      <c r="C712" s="1692"/>
      <c r="D712" s="1692"/>
      <c r="E712" s="1692"/>
    </row>
    <row r="713" spans="1:9" hidden="1">
      <c r="A713" s="1681"/>
      <c r="B713" s="2966" t="s">
        <v>2031</v>
      </c>
      <c r="C713" s="2966"/>
      <c r="D713" s="2966"/>
      <c r="E713" s="2966"/>
      <c r="F713" s="2966"/>
      <c r="G713" s="2966"/>
      <c r="H713" s="2966"/>
      <c r="I713" s="2966"/>
    </row>
    <row r="714" spans="1:9" ht="18" hidden="1" customHeight="1">
      <c r="A714" s="1681"/>
      <c r="B714" s="2966"/>
      <c r="C714" s="2966"/>
      <c r="D714" s="2966"/>
      <c r="E714" s="2966"/>
      <c r="F714" s="2966"/>
      <c r="G714" s="2966"/>
      <c r="H714" s="2966"/>
      <c r="I714" s="2966"/>
    </row>
    <row r="715" spans="1:9" ht="12" hidden="1" customHeight="1"/>
    <row r="716" spans="1:9" hidden="1">
      <c r="A716" s="2305" t="s">
        <v>1871</v>
      </c>
      <c r="B716" s="1794" t="s">
        <v>2003</v>
      </c>
      <c r="C716" s="1692"/>
      <c r="D716" s="1692"/>
      <c r="E716" s="1692"/>
    </row>
    <row r="717" spans="1:9" hidden="1">
      <c r="A717" s="2305"/>
      <c r="B717" s="1794" t="s">
        <v>2004</v>
      </c>
      <c r="C717" s="1692"/>
      <c r="D717" s="1692"/>
      <c r="E717" s="1692"/>
    </row>
    <row r="718" spans="1:9" ht="12" hidden="1" customHeight="1">
      <c r="A718" s="2277"/>
      <c r="B718" s="1735"/>
      <c r="C718" s="1692"/>
      <c r="D718" s="1692"/>
      <c r="E718" s="1692"/>
    </row>
    <row r="719" spans="1:9" hidden="1">
      <c r="A719" s="2277"/>
      <c r="B719" s="2966" t="s">
        <v>2005</v>
      </c>
      <c r="C719" s="2966"/>
      <c r="D719" s="2966"/>
      <c r="E719" s="2966"/>
      <c r="F719" s="2966"/>
      <c r="G719" s="2966"/>
      <c r="H719" s="2966"/>
      <c r="I719" s="2966"/>
    </row>
    <row r="720" spans="1:9" hidden="1">
      <c r="A720" s="2277"/>
      <c r="B720" s="2966"/>
      <c r="C720" s="2966"/>
      <c r="D720" s="2966"/>
      <c r="E720" s="2966"/>
      <c r="F720" s="2966"/>
      <c r="G720" s="2966"/>
      <c r="H720" s="2966"/>
      <c r="I720" s="2966"/>
    </row>
    <row r="721" spans="1:12" hidden="1">
      <c r="A721" s="2277"/>
      <c r="B721" s="2966"/>
      <c r="C721" s="2966"/>
      <c r="D721" s="2966"/>
      <c r="E721" s="2966"/>
      <c r="F721" s="2966"/>
      <c r="G721" s="2966"/>
      <c r="H721" s="2966"/>
      <c r="I721" s="2966"/>
    </row>
    <row r="722" spans="1:12" ht="12" hidden="1" customHeight="1">
      <c r="A722" s="2277"/>
      <c r="B722" s="1692"/>
      <c r="C722" s="1692"/>
      <c r="D722" s="1692"/>
      <c r="E722" s="1692"/>
    </row>
    <row r="723" spans="1:12" hidden="1">
      <c r="A723" s="2277"/>
      <c r="B723" s="2966" t="s">
        <v>2006</v>
      </c>
      <c r="C723" s="2966"/>
      <c r="D723" s="2966"/>
      <c r="E723" s="2966"/>
      <c r="F723" s="2966"/>
      <c r="G723" s="2966"/>
      <c r="H723" s="2966"/>
      <c r="I723" s="2966"/>
    </row>
    <row r="724" spans="1:12" hidden="1">
      <c r="A724" s="2277"/>
      <c r="B724" s="2966"/>
      <c r="C724" s="2966"/>
      <c r="D724" s="2966"/>
      <c r="E724" s="2966"/>
      <c r="F724" s="2966"/>
      <c r="G724" s="2966"/>
      <c r="H724" s="2966"/>
      <c r="I724" s="2966"/>
    </row>
    <row r="725" spans="1:12" ht="12" hidden="1" customHeight="1">
      <c r="A725" s="1692"/>
      <c r="B725" s="1692"/>
      <c r="C725" s="1692"/>
      <c r="D725" s="1692"/>
      <c r="E725" s="1692"/>
    </row>
    <row r="726" spans="1:12" hidden="1">
      <c r="A726" s="2277"/>
      <c r="B726" s="2966" t="s">
        <v>2007</v>
      </c>
      <c r="C726" s="2966"/>
      <c r="D726" s="2966"/>
      <c r="E726" s="2966"/>
      <c r="F726" s="2966"/>
      <c r="G726" s="2966"/>
      <c r="H726" s="2966"/>
      <c r="I726" s="2966"/>
    </row>
    <row r="727" spans="1:12" hidden="1">
      <c r="A727" s="2277"/>
      <c r="B727" s="2966"/>
      <c r="C727" s="2966"/>
      <c r="D727" s="2966"/>
      <c r="E727" s="2966"/>
      <c r="F727" s="2966"/>
      <c r="G727" s="2966"/>
      <c r="H727" s="2966"/>
      <c r="I727" s="2966"/>
    </row>
    <row r="728" spans="1:12" hidden="1"/>
    <row r="729" spans="1:12" s="1692" customFormat="1" hidden="1">
      <c r="A729" s="1649" t="s">
        <v>1865</v>
      </c>
      <c r="B729" s="2277" t="s">
        <v>2008</v>
      </c>
      <c r="C729" s="1794"/>
      <c r="D729" s="1650"/>
      <c r="E729" s="1650"/>
      <c r="F729" s="1650"/>
      <c r="G729" s="2306"/>
      <c r="H729" s="2306"/>
      <c r="I729" s="2306"/>
      <c r="J729" s="1650"/>
    </row>
    <row r="730" spans="1:12" s="1692" customFormat="1" ht="11.25" hidden="1" customHeight="1">
      <c r="A730" s="1649"/>
      <c r="B730" s="1680"/>
      <c r="C730" s="1794"/>
      <c r="D730" s="2301"/>
      <c r="E730" s="2301"/>
      <c r="F730" s="2301"/>
      <c r="G730" s="2282"/>
      <c r="H730" s="2282"/>
      <c r="I730" s="2282"/>
      <c r="J730" s="1650"/>
    </row>
    <row r="731" spans="1:12" s="1692" customFormat="1" hidden="1">
      <c r="A731" s="1649"/>
      <c r="B731" s="1681"/>
      <c r="C731" s="1794"/>
      <c r="D731" s="2994" t="s">
        <v>2032</v>
      </c>
      <c r="E731" s="2994"/>
      <c r="F731" s="2994"/>
      <c r="G731" s="2994"/>
      <c r="H731" s="2994"/>
      <c r="I731" s="2994"/>
      <c r="J731" s="1682"/>
    </row>
    <row r="732" spans="1:12" s="1692" customFormat="1" hidden="1">
      <c r="A732" s="1649"/>
      <c r="B732" s="1794"/>
      <c r="C732" s="1794"/>
      <c r="D732" s="2995" t="s">
        <v>2033</v>
      </c>
      <c r="E732" s="2995"/>
      <c r="F732" s="2995"/>
      <c r="G732" s="2995" t="s">
        <v>1925</v>
      </c>
      <c r="H732" s="2995"/>
      <c r="I732" s="2995"/>
      <c r="J732" s="1682"/>
    </row>
    <row r="733" spans="1:12" s="1692" customFormat="1" hidden="1">
      <c r="B733" s="1794"/>
      <c r="C733" s="1681"/>
      <c r="D733" s="2996" t="s">
        <v>1975</v>
      </c>
      <c r="E733" s="2996"/>
      <c r="F733" s="2996"/>
      <c r="G733" s="2996" t="s">
        <v>1975</v>
      </c>
      <c r="H733" s="2996"/>
      <c r="I733" s="2996"/>
      <c r="J733" s="1683"/>
    </row>
    <row r="734" spans="1:12" s="1692" customFormat="1" hidden="1">
      <c r="D734" s="2288" t="s">
        <v>674</v>
      </c>
      <c r="E734" s="2288"/>
      <c r="F734" s="2307" t="s">
        <v>718</v>
      </c>
      <c r="G734" s="2288" t="s">
        <v>674</v>
      </c>
      <c r="H734" s="2288"/>
      <c r="I734" s="2307" t="s">
        <v>718</v>
      </c>
      <c r="J734" s="1732"/>
    </row>
    <row r="735" spans="1:12" s="1692" customFormat="1" hidden="1">
      <c r="A735" s="2277"/>
      <c r="B735" s="1735"/>
      <c r="C735" s="1735"/>
      <c r="D735" s="2916" t="s">
        <v>2034</v>
      </c>
      <c r="E735" s="2916"/>
      <c r="F735" s="2995"/>
      <c r="G735" s="2995"/>
      <c r="H735" s="2995"/>
      <c r="I735" s="2995"/>
      <c r="J735" s="1732"/>
      <c r="K735" s="1684">
        <v>42277</v>
      </c>
      <c r="L735" s="1684"/>
    </row>
    <row r="736" spans="1:12" s="1692" customFormat="1" ht="7.5" hidden="1" customHeight="1">
      <c r="A736" s="2277"/>
      <c r="B736" s="1735"/>
      <c r="C736" s="1735"/>
      <c r="D736" s="2288"/>
      <c r="E736" s="2288"/>
      <c r="F736" s="2217"/>
      <c r="G736" s="2217"/>
      <c r="H736" s="2217"/>
      <c r="I736" s="2217"/>
      <c r="J736" s="1732"/>
      <c r="K736" s="1684"/>
      <c r="L736" s="1684"/>
    </row>
    <row r="737" spans="1:13" s="1692" customFormat="1" hidden="1">
      <c r="A737" s="2277"/>
      <c r="B737" s="1694" t="s">
        <v>2035</v>
      </c>
      <c r="C737" s="1735"/>
      <c r="D737" s="2288"/>
      <c r="E737" s="2288"/>
      <c r="F737" s="2217"/>
      <c r="G737" s="2217"/>
      <c r="H737" s="2217"/>
      <c r="I737" s="2217"/>
      <c r="J737" s="1732"/>
    </row>
    <row r="738" spans="1:13" s="1692" customFormat="1" hidden="1">
      <c r="A738" s="2277"/>
      <c r="B738" s="1692" t="s">
        <v>2036</v>
      </c>
      <c r="C738" s="1735"/>
      <c r="D738" s="2288"/>
      <c r="E738" s="2288"/>
      <c r="F738" s="2217"/>
      <c r="G738" s="2217"/>
      <c r="H738" s="2217"/>
      <c r="I738" s="2217"/>
      <c r="J738" s="1732"/>
    </row>
    <row r="739" spans="1:13" s="1692" customFormat="1" hidden="1">
      <c r="A739" s="2277"/>
      <c r="B739" s="1692" t="s">
        <v>2037</v>
      </c>
      <c r="C739" s="1735"/>
      <c r="D739" s="2308">
        <f>'[40]P &amp; L'!J25+'[40]P &amp; L'!J28</f>
        <v>41174</v>
      </c>
      <c r="E739" s="2308"/>
      <c r="F739" s="2309">
        <v>40431</v>
      </c>
      <c r="G739" s="2308">
        <f>'[40]P &amp; L'!N25+'[40]P &amp; L'!N28+'[40]P &amp; L'!N36</f>
        <v>21812</v>
      </c>
      <c r="H739" s="1689"/>
      <c r="I739" s="2309">
        <v>19799</v>
      </c>
      <c r="J739" s="1733"/>
      <c r="K739" s="1759">
        <v>21466</v>
      </c>
      <c r="M739" s="1759"/>
    </row>
    <row r="740" spans="1:13" s="1692" customFormat="1" hidden="1">
      <c r="A740" s="2277"/>
      <c r="B740" s="1692" t="s">
        <v>2038</v>
      </c>
      <c r="C740" s="1735"/>
      <c r="D740" s="2308"/>
      <c r="E740" s="2308"/>
      <c r="F740" s="2309"/>
      <c r="G740" s="1689"/>
      <c r="H740" s="1689"/>
      <c r="I740" s="2309"/>
      <c r="J740" s="1733"/>
      <c r="K740" s="1759"/>
      <c r="M740" s="1759"/>
    </row>
    <row r="741" spans="1:13" s="1692" customFormat="1" hidden="1">
      <c r="A741" s="2277"/>
      <c r="B741" s="1692" t="s">
        <v>2039</v>
      </c>
      <c r="C741" s="1735"/>
      <c r="D741" s="2308">
        <v>0</v>
      </c>
      <c r="E741" s="2308"/>
      <c r="F741" s="2309">
        <v>0</v>
      </c>
      <c r="G741" s="1689">
        <v>0</v>
      </c>
      <c r="H741" s="1689"/>
      <c r="I741" s="2309">
        <v>0</v>
      </c>
      <c r="J741" s="1733"/>
      <c r="K741" s="1759">
        <v>4363</v>
      </c>
    </row>
    <row r="742" spans="1:13" s="1692" customFormat="1" hidden="1">
      <c r="A742" s="2277"/>
      <c r="B742" s="1692" t="s">
        <v>2040</v>
      </c>
      <c r="C742" s="1735"/>
      <c r="D742" s="2308"/>
      <c r="E742" s="2308"/>
      <c r="F742" s="2309"/>
      <c r="G742" s="1689"/>
      <c r="H742" s="1689"/>
      <c r="I742" s="2309"/>
      <c r="J742" s="1733"/>
      <c r="K742" s="1759"/>
    </row>
    <row r="743" spans="1:13" s="1692" customFormat="1" hidden="1">
      <c r="A743" s="2277"/>
      <c r="B743" s="1692" t="s">
        <v>2039</v>
      </c>
      <c r="C743" s="1735"/>
      <c r="D743" s="2308">
        <f>'[40]P &amp; L'!J28</f>
        <v>4737</v>
      </c>
      <c r="E743" s="2308"/>
      <c r="F743" s="2309">
        <v>0</v>
      </c>
      <c r="G743" s="1689">
        <v>0</v>
      </c>
      <c r="H743" s="1689"/>
      <c r="I743" s="2309">
        <v>0</v>
      </c>
      <c r="J743" s="1733"/>
      <c r="K743" s="1759">
        <v>5061</v>
      </c>
      <c r="L743" s="1759"/>
    </row>
    <row r="744" spans="1:13" s="1687" customFormat="1" ht="19.5" hidden="1" customHeight="1">
      <c r="A744" s="1685"/>
      <c r="B744" s="2310" t="s">
        <v>2041</v>
      </c>
      <c r="C744" s="1857"/>
      <c r="D744" s="1686">
        <f>'[40]P &amp; L'!J32</f>
        <v>6477</v>
      </c>
      <c r="E744" s="1686"/>
      <c r="F744" s="2311">
        <v>834</v>
      </c>
      <c r="G744" s="1686">
        <v>2297</v>
      </c>
      <c r="H744" s="1796"/>
      <c r="I744" s="2311">
        <v>834</v>
      </c>
      <c r="J744" s="1728"/>
      <c r="K744" s="1742"/>
      <c r="L744" s="1742"/>
    </row>
    <row r="745" spans="1:13" s="1692" customFormat="1" ht="9" hidden="1" customHeight="1">
      <c r="A745" s="2277"/>
      <c r="B745" s="1735"/>
      <c r="C745" s="1735"/>
      <c r="D745" s="2308"/>
      <c r="E745" s="2308"/>
      <c r="F745" s="2309"/>
      <c r="G745" s="1689"/>
      <c r="H745" s="1689"/>
      <c r="I745" s="2309"/>
      <c r="J745" s="1733"/>
      <c r="K745" s="1759"/>
    </row>
    <row r="746" spans="1:13" s="1692" customFormat="1" hidden="1">
      <c r="A746" s="2277"/>
      <c r="B746" s="1694" t="s">
        <v>2042</v>
      </c>
      <c r="C746" s="1735"/>
      <c r="D746" s="2308"/>
      <c r="E746" s="2308"/>
      <c r="F746" s="2309"/>
      <c r="G746" s="1689"/>
      <c r="H746" s="1689"/>
      <c r="I746" s="2309"/>
      <c r="J746" s="1733"/>
      <c r="K746" s="1759"/>
    </row>
    <row r="747" spans="1:13" s="1692" customFormat="1" hidden="1">
      <c r="A747" s="2277"/>
      <c r="B747" s="1694" t="s">
        <v>2043</v>
      </c>
      <c r="C747" s="1735"/>
      <c r="D747" s="2308"/>
      <c r="E747" s="2308"/>
      <c r="F747" s="2309"/>
      <c r="G747" s="1689"/>
      <c r="H747" s="1689"/>
      <c r="I747" s="2309"/>
      <c r="J747" s="1733"/>
      <c r="K747" s="1759"/>
    </row>
    <row r="748" spans="1:13" s="1692" customFormat="1" hidden="1">
      <c r="A748" s="2277"/>
      <c r="B748" s="1727" t="s">
        <v>2044</v>
      </c>
      <c r="C748" s="1735"/>
      <c r="D748" s="2308">
        <f>'[40]P &amp; L'!J29+'[40]P &amp; L'!J30</f>
        <v>5168</v>
      </c>
      <c r="E748" s="2308"/>
      <c r="F748" s="2309">
        <v>4167</v>
      </c>
      <c r="G748" s="1689">
        <f>'[40]P &amp; L'!N29+'[40]P &amp; L'!N30</f>
        <v>2670</v>
      </c>
      <c r="H748" s="1689"/>
      <c r="I748" s="2309">
        <v>2024</v>
      </c>
      <c r="J748" s="1733">
        <f>G748+1187</f>
        <v>3857</v>
      </c>
      <c r="K748" s="1759">
        <v>2143</v>
      </c>
      <c r="M748" s="1759"/>
    </row>
    <row r="749" spans="1:13" s="1692" customFormat="1" ht="14.1" hidden="1" customHeight="1">
      <c r="A749" s="2277"/>
      <c r="B749" s="1735"/>
      <c r="C749" s="1735"/>
      <c r="D749" s="2308"/>
      <c r="E749" s="2308"/>
      <c r="F749" s="2309"/>
      <c r="G749" s="1689"/>
      <c r="H749" s="1689"/>
      <c r="I749" s="2309"/>
      <c r="J749" s="1733"/>
      <c r="K749" s="1759"/>
    </row>
    <row r="750" spans="1:13" s="1692" customFormat="1" ht="14.1" hidden="1" customHeight="1">
      <c r="A750" s="2277"/>
      <c r="B750" s="1735"/>
      <c r="C750" s="1735"/>
      <c r="D750" s="2308"/>
      <c r="E750" s="2308"/>
      <c r="F750" s="2309"/>
      <c r="G750" s="1689"/>
      <c r="H750" s="1689"/>
      <c r="I750" s="2309"/>
      <c r="J750" s="1733"/>
      <c r="K750" s="1759"/>
    </row>
    <row r="751" spans="1:13" s="1692" customFormat="1" ht="14.1" hidden="1" customHeight="1">
      <c r="A751" s="2277"/>
      <c r="B751" s="1735"/>
      <c r="C751" s="1735"/>
      <c r="D751" s="2994" t="s">
        <v>2032</v>
      </c>
      <c r="E751" s="2994"/>
      <c r="F751" s="2994"/>
      <c r="G751" s="2994"/>
      <c r="H751" s="2994"/>
      <c r="I751" s="2994"/>
      <c r="J751" s="1733"/>
      <c r="K751" s="1759"/>
    </row>
    <row r="752" spans="1:13" s="1692" customFormat="1" ht="14.1" hidden="1" customHeight="1">
      <c r="A752" s="2277"/>
      <c r="B752" s="1735"/>
      <c r="C752" s="1735"/>
      <c r="D752" s="2995" t="s">
        <v>2033</v>
      </c>
      <c r="E752" s="2995"/>
      <c r="F752" s="2995"/>
      <c r="G752" s="2995" t="s">
        <v>1925</v>
      </c>
      <c r="H752" s="2995"/>
      <c r="I752" s="2995"/>
      <c r="J752" s="1733"/>
      <c r="K752" s="1759"/>
    </row>
    <row r="753" spans="1:13" s="1692" customFormat="1" ht="14.1" hidden="1" customHeight="1">
      <c r="A753" s="2277"/>
      <c r="B753" s="1735"/>
      <c r="C753" s="1735"/>
      <c r="D753" s="2996" t="s">
        <v>1975</v>
      </c>
      <c r="E753" s="2996"/>
      <c r="F753" s="2996"/>
      <c r="G753" s="2996" t="s">
        <v>1975</v>
      </c>
      <c r="H753" s="2996"/>
      <c r="I753" s="2996"/>
      <c r="J753" s="1733"/>
      <c r="K753" s="1759"/>
    </row>
    <row r="754" spans="1:13" s="1692" customFormat="1" ht="14.1" hidden="1" customHeight="1">
      <c r="A754" s="2277"/>
      <c r="B754" s="1735"/>
      <c r="C754" s="1735"/>
      <c r="D754" s="2288" t="s">
        <v>674</v>
      </c>
      <c r="E754" s="2288"/>
      <c r="F754" s="2307" t="s">
        <v>718</v>
      </c>
      <c r="G754" s="2288" t="s">
        <v>674</v>
      </c>
      <c r="H754" s="2288"/>
      <c r="I754" s="2307" t="s">
        <v>718</v>
      </c>
      <c r="J754" s="1733"/>
      <c r="K754" s="1759"/>
    </row>
    <row r="755" spans="1:13" s="1692" customFormat="1" ht="14.1" hidden="1" customHeight="1">
      <c r="A755" s="2277"/>
      <c r="B755" s="1735"/>
      <c r="C755" s="1735"/>
      <c r="D755" s="2916" t="s">
        <v>2034</v>
      </c>
      <c r="E755" s="2916"/>
      <c r="F755" s="2995"/>
      <c r="G755" s="2995"/>
      <c r="H755" s="2995"/>
      <c r="I755" s="2995"/>
      <c r="J755" s="1733"/>
      <c r="K755" s="1759"/>
    </row>
    <row r="756" spans="1:13" s="1692" customFormat="1" ht="14.1" hidden="1" customHeight="1">
      <c r="A756" s="2277"/>
      <c r="B756" s="1735"/>
      <c r="C756" s="1735"/>
      <c r="D756" s="2308"/>
      <c r="E756" s="2308"/>
      <c r="F756" s="2309"/>
      <c r="G756" s="1689"/>
      <c r="H756" s="1689"/>
      <c r="I756" s="2309"/>
      <c r="J756" s="1733"/>
      <c r="K756" s="1759"/>
    </row>
    <row r="757" spans="1:13" s="1692" customFormat="1" hidden="1">
      <c r="A757" s="2277"/>
      <c r="B757" s="1694" t="s">
        <v>919</v>
      </c>
      <c r="C757" s="1735"/>
      <c r="D757" s="2308"/>
      <c r="E757" s="2308"/>
      <c r="F757" s="2309"/>
      <c r="G757" s="1689"/>
      <c r="H757" s="1689"/>
      <c r="I757" s="2309"/>
      <c r="J757" s="1733"/>
      <c r="K757" s="1759"/>
    </row>
    <row r="758" spans="1:13" s="1692" customFormat="1" hidden="1">
      <c r="A758" s="2277"/>
      <c r="B758" s="1692" t="s">
        <v>710</v>
      </c>
      <c r="C758" s="1735"/>
      <c r="D758" s="2312">
        <v>204</v>
      </c>
      <c r="E758" s="2308"/>
      <c r="F758" s="2309">
        <v>2260</v>
      </c>
      <c r="G758" s="1689">
        <f>D758-J758</f>
        <v>104</v>
      </c>
      <c r="H758" s="1689"/>
      <c r="I758" s="2309">
        <v>321</v>
      </c>
      <c r="J758" s="1733">
        <v>100</v>
      </c>
      <c r="K758" s="1759">
        <v>1939</v>
      </c>
      <c r="M758" s="1759"/>
    </row>
    <row r="759" spans="1:13" s="1692" customFormat="1" hidden="1">
      <c r="A759" s="2277"/>
      <c r="B759" s="1692" t="s">
        <v>722</v>
      </c>
      <c r="C759" s="1735"/>
      <c r="D759" s="2312">
        <v>8</v>
      </c>
      <c r="E759" s="2308"/>
      <c r="F759" s="2309">
        <v>59</v>
      </c>
      <c r="G759" s="1689">
        <f>D759-J759</f>
        <v>2</v>
      </c>
      <c r="H759" s="1689"/>
      <c r="I759" s="2309">
        <v>19</v>
      </c>
      <c r="J759" s="1733">
        <v>6</v>
      </c>
      <c r="K759" s="1759">
        <v>40</v>
      </c>
      <c r="M759" s="1759"/>
    </row>
    <row r="760" spans="1:13" s="1692" customFormat="1" hidden="1">
      <c r="A760" s="2277"/>
      <c r="B760" s="1692" t="s">
        <v>2045</v>
      </c>
      <c r="C760" s="1735"/>
      <c r="D760" s="2312">
        <v>388982</v>
      </c>
      <c r="E760" s="2308"/>
      <c r="F760" s="2309">
        <v>0</v>
      </c>
      <c r="G760" s="1689">
        <v>0</v>
      </c>
      <c r="H760" s="1689"/>
      <c r="I760" s="2309">
        <v>0</v>
      </c>
      <c r="J760" s="1733"/>
      <c r="K760" s="1759"/>
      <c r="M760" s="1759"/>
    </row>
    <row r="761" spans="1:13" s="1692" customFormat="1" hidden="1">
      <c r="A761" s="2277"/>
      <c r="C761" s="1735"/>
      <c r="D761" s="2312"/>
      <c r="E761" s="2308"/>
      <c r="F761" s="2309"/>
      <c r="G761" s="1689"/>
      <c r="H761" s="1689"/>
      <c r="I761" s="2309"/>
      <c r="J761" s="1733"/>
      <c r="K761" s="1759"/>
      <c r="M761" s="1759"/>
    </row>
    <row r="762" spans="1:13" s="1692" customFormat="1" hidden="1">
      <c r="A762" s="2277"/>
      <c r="B762" s="1694" t="s">
        <v>920</v>
      </c>
      <c r="C762" s="1735"/>
      <c r="D762" s="2312"/>
      <c r="E762" s="2308"/>
      <c r="F762" s="2309"/>
      <c r="G762" s="1689"/>
      <c r="H762" s="1689"/>
      <c r="I762" s="2309"/>
      <c r="J762" s="1733"/>
      <c r="K762" s="1759"/>
      <c r="M762" s="1759"/>
    </row>
    <row r="763" spans="1:13" s="1692" customFormat="1" hidden="1">
      <c r="A763" s="2277"/>
      <c r="B763" s="1692" t="s">
        <v>2046</v>
      </c>
      <c r="C763" s="1735"/>
      <c r="D763" s="2312">
        <v>808242</v>
      </c>
      <c r="E763" s="2308"/>
      <c r="F763" s="2309">
        <v>0</v>
      </c>
      <c r="G763" s="1689">
        <v>0</v>
      </c>
      <c r="H763" s="1689"/>
      <c r="I763" s="2309">
        <v>0</v>
      </c>
      <c r="J763" s="1733"/>
      <c r="K763" s="1759"/>
      <c r="M763" s="1759"/>
    </row>
    <row r="764" spans="1:13" s="1692" customFormat="1" ht="14.1" hidden="1" customHeight="1">
      <c r="A764" s="2277"/>
      <c r="C764" s="1735"/>
      <c r="D764" s="2308"/>
      <c r="E764" s="2308"/>
      <c r="F764" s="2309"/>
      <c r="G764" s="1689"/>
      <c r="H764" s="1689"/>
      <c r="I764" s="2309"/>
      <c r="J764" s="1733"/>
      <c r="K764" s="1759"/>
      <c r="M764" s="1759"/>
    </row>
    <row r="765" spans="1:13" s="1692" customFormat="1" hidden="1">
      <c r="A765" s="2277"/>
      <c r="B765" s="1694" t="s">
        <v>2047</v>
      </c>
      <c r="D765" s="1733"/>
      <c r="E765" s="2313"/>
      <c r="F765" s="1732"/>
      <c r="G765" s="1733"/>
      <c r="H765" s="1733"/>
      <c r="I765" s="1732"/>
      <c r="K765" s="1733"/>
      <c r="M765" s="1759"/>
    </row>
    <row r="766" spans="1:13" s="1692" customFormat="1" hidden="1">
      <c r="A766" s="2277"/>
      <c r="B766" s="1692" t="s">
        <v>2017</v>
      </c>
      <c r="D766" s="1690">
        <v>0</v>
      </c>
      <c r="E766" s="1688"/>
      <c r="F766" s="1733">
        <v>1</v>
      </c>
      <c r="G766" s="1690">
        <f>D766-K766</f>
        <v>0</v>
      </c>
      <c r="H766" s="1690"/>
      <c r="I766" s="1733">
        <v>1</v>
      </c>
      <c r="K766" s="1692">
        <v>0</v>
      </c>
      <c r="M766" s="1759"/>
    </row>
    <row r="767" spans="1:13" s="1692" customFormat="1" ht="14.1" hidden="1" customHeight="1">
      <c r="A767" s="2277"/>
      <c r="D767" s="1690"/>
      <c r="E767" s="1688"/>
      <c r="F767" s="1733"/>
      <c r="G767" s="1690"/>
      <c r="H767" s="1690"/>
      <c r="I767" s="1733"/>
      <c r="M767" s="1759"/>
    </row>
    <row r="768" spans="1:13" s="1692" customFormat="1" hidden="1">
      <c r="A768" s="2277"/>
      <c r="B768" s="1694" t="s">
        <v>2048</v>
      </c>
      <c r="D768" s="1690"/>
      <c r="E768" s="1688"/>
      <c r="F768" s="1733"/>
      <c r="G768" s="1690"/>
      <c r="H768" s="1690"/>
      <c r="I768" s="1733"/>
      <c r="M768" s="1759"/>
    </row>
    <row r="769" spans="1:13" s="1692" customFormat="1" hidden="1">
      <c r="A769" s="2277"/>
      <c r="B769" s="1692" t="s">
        <v>2017</v>
      </c>
      <c r="D769" s="1690">
        <v>1</v>
      </c>
      <c r="E769" s="1688"/>
      <c r="F769" s="1733">
        <v>67</v>
      </c>
      <c r="G769" s="1690">
        <f>D769-J769</f>
        <v>0</v>
      </c>
      <c r="H769" s="1690"/>
      <c r="I769" s="1733">
        <v>7</v>
      </c>
      <c r="J769" s="1692">
        <v>1</v>
      </c>
      <c r="K769" s="1759">
        <v>60</v>
      </c>
      <c r="M769" s="1759"/>
    </row>
    <row r="770" spans="1:13" s="1692" customFormat="1" ht="14.1" hidden="1" customHeight="1">
      <c r="A770" s="2277"/>
      <c r="D770" s="1690"/>
      <c r="E770" s="1688"/>
      <c r="F770" s="1733"/>
      <c r="G770" s="1690"/>
      <c r="H770" s="1690"/>
      <c r="I770" s="1733"/>
      <c r="K770" s="1759"/>
      <c r="M770" s="1759"/>
    </row>
    <row r="771" spans="1:13" s="1692" customFormat="1" hidden="1">
      <c r="A771" s="2277"/>
      <c r="B771" s="1694" t="s">
        <v>2049</v>
      </c>
      <c r="D771" s="1690"/>
      <c r="E771" s="1688"/>
      <c r="F771" s="1733"/>
      <c r="G771" s="1690"/>
      <c r="H771" s="1690"/>
      <c r="I771" s="1733"/>
      <c r="K771" s="1759"/>
      <c r="M771" s="1759"/>
    </row>
    <row r="772" spans="1:13" s="1692" customFormat="1" hidden="1">
      <c r="A772" s="2277"/>
      <c r="B772" s="1692" t="s">
        <v>2017</v>
      </c>
      <c r="D772" s="1690">
        <v>0</v>
      </c>
      <c r="E772" s="1688"/>
      <c r="F772" s="1733">
        <v>29</v>
      </c>
      <c r="G772" s="1690">
        <v>0</v>
      </c>
      <c r="H772" s="1690"/>
      <c r="I772" s="1733">
        <v>0</v>
      </c>
      <c r="K772" s="1759">
        <v>29</v>
      </c>
      <c r="M772" s="1759"/>
    </row>
    <row r="773" spans="1:13" s="1692" customFormat="1" ht="14.1" hidden="1" customHeight="1">
      <c r="A773" s="2277"/>
      <c r="C773" s="1735"/>
      <c r="D773" s="2308"/>
      <c r="E773" s="2314"/>
      <c r="F773" s="2309"/>
      <c r="G773" s="1689"/>
      <c r="H773" s="2219"/>
      <c r="I773" s="2309"/>
      <c r="J773" s="1733"/>
      <c r="K773" s="1759"/>
      <c r="M773" s="1759"/>
    </row>
    <row r="774" spans="1:13" s="1692" customFormat="1" ht="14.1" hidden="1" customHeight="1">
      <c r="A774" s="2277"/>
      <c r="C774" s="1735"/>
      <c r="D774" s="2308"/>
      <c r="E774" s="2314"/>
      <c r="F774" s="2309"/>
      <c r="G774" s="1689"/>
      <c r="H774" s="2219"/>
      <c r="I774" s="2309"/>
      <c r="J774" s="1733"/>
      <c r="K774" s="1759"/>
      <c r="M774" s="1759"/>
    </row>
    <row r="775" spans="1:13" s="1692" customFormat="1" hidden="1">
      <c r="A775" s="2305" t="s">
        <v>2050</v>
      </c>
      <c r="B775" s="1735" t="s">
        <v>2051</v>
      </c>
      <c r="C775" s="1735"/>
      <c r="D775" s="2308"/>
      <c r="E775" s="2314"/>
      <c r="F775" s="2309"/>
      <c r="G775" s="1689"/>
      <c r="H775" s="2219"/>
      <c r="I775" s="2309"/>
      <c r="J775" s="1733"/>
      <c r="K775" s="1759"/>
      <c r="M775" s="1759"/>
    </row>
    <row r="776" spans="1:13" s="1692" customFormat="1" ht="14.1" hidden="1" customHeight="1">
      <c r="A776" s="2277"/>
      <c r="C776" s="1735"/>
      <c r="D776" s="2308"/>
      <c r="E776" s="2314"/>
      <c r="F776" s="2309"/>
      <c r="G776" s="2219" t="s">
        <v>1989</v>
      </c>
      <c r="H776" s="2219"/>
      <c r="I776" s="2315" t="s">
        <v>1916</v>
      </c>
      <c r="J776" s="1733"/>
      <c r="K776" s="1759"/>
      <c r="M776" s="1759"/>
    </row>
    <row r="777" spans="1:13" s="1692" customFormat="1" hidden="1">
      <c r="C777" s="1794"/>
      <c r="D777" s="1794"/>
      <c r="E777" s="1794"/>
      <c r="F777" s="1735"/>
      <c r="G777" s="2314" t="s">
        <v>1975</v>
      </c>
      <c r="H777" s="2314"/>
      <c r="I777" s="2316" t="s">
        <v>2019</v>
      </c>
      <c r="K777" s="1759"/>
    </row>
    <row r="778" spans="1:13" s="1692" customFormat="1" hidden="1">
      <c r="A778" s="2277"/>
      <c r="B778" s="1735"/>
      <c r="C778" s="1735"/>
      <c r="D778" s="1735"/>
      <c r="E778" s="1735"/>
      <c r="F778" s="1735"/>
      <c r="G778" s="2314" t="s">
        <v>674</v>
      </c>
      <c r="H778" s="2314"/>
      <c r="I778" s="2316" t="s">
        <v>674</v>
      </c>
      <c r="K778" s="1759"/>
    </row>
    <row r="779" spans="1:13" s="1692" customFormat="1" hidden="1">
      <c r="A779" s="2277"/>
      <c r="B779" s="1735"/>
      <c r="C779" s="1735"/>
      <c r="D779" s="1735"/>
      <c r="E779" s="1735"/>
      <c r="F779" s="1794"/>
      <c r="G779" s="3019" t="s">
        <v>707</v>
      </c>
      <c r="H779" s="3019"/>
      <c r="I779" s="3019"/>
      <c r="K779" s="1759"/>
    </row>
    <row r="780" spans="1:13" s="1692" customFormat="1" hidden="1">
      <c r="A780" s="2277"/>
      <c r="B780" s="1694" t="s">
        <v>2035</v>
      </c>
      <c r="C780" s="1735"/>
      <c r="D780" s="1735"/>
      <c r="E780" s="1735"/>
      <c r="F780" s="1794"/>
      <c r="G780" s="2314"/>
      <c r="H780" s="2314"/>
      <c r="I780" s="2314"/>
      <c r="K780" s="1759"/>
    </row>
    <row r="781" spans="1:13" s="1692" customFormat="1" hidden="1">
      <c r="A781" s="2277"/>
      <c r="B781" s="1727" t="s">
        <v>2052</v>
      </c>
      <c r="C781" s="1735"/>
      <c r="D781" s="1735"/>
      <c r="E781" s="1735"/>
      <c r="F781" s="1794"/>
      <c r="G781" s="2308">
        <f>'[41]6-8'!H30</f>
        <v>4367</v>
      </c>
      <c r="H781" s="2308"/>
      <c r="I781" s="2317">
        <v>2854</v>
      </c>
      <c r="K781" s="1759"/>
      <c r="L781" s="1759"/>
    </row>
    <row r="782" spans="1:13" s="1692" customFormat="1" hidden="1">
      <c r="A782" s="2277"/>
      <c r="B782" s="1692" t="s">
        <v>2053</v>
      </c>
      <c r="C782" s="1735"/>
      <c r="D782" s="1735"/>
      <c r="E782" s="1735"/>
      <c r="F782" s="1794"/>
      <c r="G782" s="2308">
        <f>'[41]6-8'!H31</f>
        <v>568</v>
      </c>
      <c r="H782" s="2308"/>
      <c r="I782" s="2317">
        <v>400</v>
      </c>
      <c r="K782" s="1759"/>
      <c r="L782" s="1759"/>
    </row>
    <row r="783" spans="1:13" s="1692" customFormat="1" hidden="1">
      <c r="A783" s="2277"/>
      <c r="B783" s="2318" t="s">
        <v>2054</v>
      </c>
      <c r="C783" s="1735"/>
      <c r="D783" s="1735"/>
      <c r="E783" s="1735"/>
      <c r="F783" s="1794"/>
      <c r="G783" s="2308">
        <f>'[41]6-8'!H32</f>
        <v>2791</v>
      </c>
      <c r="H783" s="2308"/>
      <c r="I783" s="2317">
        <v>393</v>
      </c>
      <c r="K783" s="1759">
        <f>834</f>
        <v>834</v>
      </c>
      <c r="L783" s="1759">
        <f>K783*0.14/1.14</f>
        <v>102.42105263157896</v>
      </c>
      <c r="M783" s="1759">
        <f>K783-L783</f>
        <v>731.57894736842104</v>
      </c>
    </row>
    <row r="784" spans="1:13" s="1692" customFormat="1" hidden="1">
      <c r="A784" s="2277"/>
      <c r="B784" s="1692" t="s">
        <v>2055</v>
      </c>
      <c r="C784" s="1735"/>
      <c r="D784" s="1735"/>
      <c r="E784" s="1735"/>
      <c r="F784" s="1794"/>
      <c r="G784" s="2308">
        <f>'[41]6-8'!H33</f>
        <v>0</v>
      </c>
      <c r="H784" s="2308"/>
      <c r="I784" s="2317">
        <v>2</v>
      </c>
      <c r="K784" s="1759"/>
      <c r="L784" s="1759"/>
    </row>
    <row r="785" spans="1:11" s="1692" customFormat="1" ht="14.1" hidden="1" customHeight="1">
      <c r="A785" s="2277"/>
      <c r="B785" s="1735"/>
      <c r="C785" s="1735"/>
      <c r="D785" s="1735"/>
      <c r="E785" s="1735"/>
      <c r="F785" s="1794"/>
      <c r="G785" s="2308"/>
      <c r="H785" s="2308"/>
      <c r="I785" s="2317"/>
      <c r="K785" s="1759"/>
    </row>
    <row r="786" spans="1:11" s="1692" customFormat="1" hidden="1">
      <c r="A786" s="2277"/>
      <c r="B786" s="1694" t="s">
        <v>918</v>
      </c>
      <c r="C786" s="1735"/>
      <c r="D786" s="1735"/>
      <c r="E786" s="1735"/>
      <c r="F786" s="1794"/>
      <c r="G786" s="2308"/>
      <c r="H786" s="2308"/>
      <c r="I786" s="2317"/>
      <c r="K786" s="1759"/>
    </row>
    <row r="787" spans="1:11" s="1692" customFormat="1" hidden="1">
      <c r="A787" s="2277"/>
      <c r="B787" s="1692" t="s">
        <v>922</v>
      </c>
      <c r="C787" s="1735"/>
      <c r="D787" s="1735"/>
      <c r="E787" s="1735"/>
      <c r="F787" s="1794"/>
      <c r="G787" s="2308">
        <f>-'[40]BS Detail'!D51</f>
        <v>571</v>
      </c>
      <c r="H787" s="2308"/>
      <c r="I787" s="2317">
        <v>356</v>
      </c>
      <c r="K787" s="1759"/>
    </row>
    <row r="788" spans="1:11" s="1692" customFormat="1" hidden="1">
      <c r="A788" s="2277"/>
      <c r="B788" s="1692" t="s">
        <v>2056</v>
      </c>
      <c r="C788" s="1735"/>
      <c r="D788" s="1735"/>
      <c r="E788" s="1735"/>
      <c r="F788" s="1794"/>
      <c r="G788" s="2308">
        <f>-'[40]BS Detail'!D49</f>
        <v>74</v>
      </c>
      <c r="H788" s="2308"/>
      <c r="I788" s="2317">
        <v>50</v>
      </c>
      <c r="K788" s="1759"/>
    </row>
    <row r="789" spans="1:11" s="1692" customFormat="1" ht="14.1" hidden="1" customHeight="1">
      <c r="A789" s="2277"/>
      <c r="C789" s="1735"/>
      <c r="D789" s="1735"/>
      <c r="E789" s="1735"/>
      <c r="F789" s="1794"/>
      <c r="G789" s="2314"/>
      <c r="H789" s="2314"/>
      <c r="I789" s="2316"/>
      <c r="K789" s="1759"/>
    </row>
    <row r="790" spans="1:11" s="1692" customFormat="1" ht="14.1" hidden="1" customHeight="1">
      <c r="A790" s="2277"/>
      <c r="C790" s="1735"/>
      <c r="D790" s="1735"/>
      <c r="E790" s="1735"/>
      <c r="F790" s="1794"/>
      <c r="G790" s="2219" t="s">
        <v>1989</v>
      </c>
      <c r="H790" s="2219"/>
      <c r="I790" s="2315" t="s">
        <v>1916</v>
      </c>
      <c r="K790" s="1759"/>
    </row>
    <row r="791" spans="1:11" s="1692" customFormat="1" ht="14.1" hidden="1" customHeight="1">
      <c r="A791" s="2277"/>
      <c r="C791" s="1735"/>
      <c r="D791" s="1735"/>
      <c r="E791" s="1735"/>
      <c r="F791" s="1794"/>
      <c r="G791" s="2314" t="s">
        <v>1975</v>
      </c>
      <c r="H791" s="2314"/>
      <c r="I791" s="2316" t="s">
        <v>2019</v>
      </c>
      <c r="K791" s="1759"/>
    </row>
    <row r="792" spans="1:11" s="1692" customFormat="1" ht="14.1" hidden="1" customHeight="1">
      <c r="A792" s="2277"/>
      <c r="C792" s="1735"/>
      <c r="D792" s="1735"/>
      <c r="E792" s="1735"/>
      <c r="F792" s="1794"/>
      <c r="G792" s="2314" t="s">
        <v>674</v>
      </c>
      <c r="H792" s="2314"/>
      <c r="I792" s="2316" t="s">
        <v>674</v>
      </c>
      <c r="K792" s="1759"/>
    </row>
    <row r="793" spans="1:11" s="1692" customFormat="1" ht="14.1" hidden="1" customHeight="1">
      <c r="A793" s="2277"/>
      <c r="C793" s="1735"/>
      <c r="D793" s="1735"/>
      <c r="E793" s="1735"/>
      <c r="F793" s="1794"/>
      <c r="G793" s="3019" t="s">
        <v>707</v>
      </c>
      <c r="H793" s="3019"/>
      <c r="I793" s="3019"/>
      <c r="K793" s="1759"/>
    </row>
    <row r="794" spans="1:11" s="1692" customFormat="1" hidden="1">
      <c r="A794" s="2277"/>
      <c r="B794" s="1694" t="s">
        <v>919</v>
      </c>
      <c r="C794" s="1735"/>
      <c r="D794" s="1735"/>
      <c r="E794" s="1735"/>
      <c r="F794" s="1794"/>
      <c r="G794" s="2314"/>
      <c r="H794" s="2314"/>
      <c r="I794" s="2316"/>
      <c r="K794" s="1759"/>
    </row>
    <row r="795" spans="1:11" s="1692" customFormat="1" hidden="1">
      <c r="A795" s="2277"/>
      <c r="B795" s="1692" t="s">
        <v>2057</v>
      </c>
      <c r="C795" s="1735"/>
      <c r="D795" s="1735"/>
      <c r="E795" s="1735"/>
      <c r="F795" s="1794"/>
      <c r="G795" s="2308">
        <v>218270</v>
      </c>
      <c r="H795" s="2308"/>
      <c r="I795" s="2317">
        <v>126700</v>
      </c>
      <c r="K795" s="1759"/>
    </row>
    <row r="796" spans="1:11" s="1692" customFormat="1" hidden="1">
      <c r="A796" s="2277"/>
      <c r="B796" s="1692" t="s">
        <v>926</v>
      </c>
      <c r="C796" s="1735"/>
      <c r="D796" s="1735"/>
      <c r="E796" s="1735"/>
      <c r="F796" s="1794"/>
      <c r="G796" s="2308">
        <v>429</v>
      </c>
      <c r="H796" s="2308"/>
      <c r="I796" s="2317">
        <v>356</v>
      </c>
      <c r="K796" s="1759"/>
    </row>
    <row r="797" spans="1:11" s="1692" customFormat="1" ht="10.5" hidden="1" customHeight="1">
      <c r="A797" s="2277"/>
      <c r="B797" s="2319"/>
      <c r="C797" s="1735"/>
      <c r="D797" s="1735"/>
      <c r="E797" s="1735"/>
      <c r="F797" s="1794"/>
      <c r="G797" s="2308"/>
      <c r="H797" s="2308"/>
      <c r="I797" s="2317"/>
    </row>
    <row r="798" spans="1:11" s="1692" customFormat="1" hidden="1">
      <c r="A798" s="2277"/>
      <c r="B798" s="1694" t="s">
        <v>2047</v>
      </c>
      <c r="D798" s="1759"/>
      <c r="F798" s="1759"/>
      <c r="G798" s="1732"/>
      <c r="H798" s="1733"/>
      <c r="I798" s="1690"/>
      <c r="J798" s="1690"/>
      <c r="K798" s="1718"/>
    </row>
    <row r="799" spans="1:11" s="1692" customFormat="1" hidden="1">
      <c r="A799" s="2277"/>
      <c r="B799" s="1692" t="s">
        <v>2058</v>
      </c>
      <c r="D799" s="1759"/>
      <c r="F799" s="1759"/>
      <c r="G799" s="1690">
        <v>0</v>
      </c>
      <c r="H799" s="1690"/>
      <c r="I799" s="1718">
        <v>9</v>
      </c>
    </row>
    <row r="800" spans="1:11" s="1692" customFormat="1" ht="10.5" hidden="1" customHeight="1">
      <c r="A800" s="2277"/>
      <c r="D800" s="1759"/>
      <c r="F800" s="1759"/>
      <c r="G800" s="1690"/>
      <c r="H800" s="1690"/>
      <c r="I800" s="1718"/>
    </row>
    <row r="801" spans="1:11" s="1692" customFormat="1" hidden="1">
      <c r="A801" s="2277"/>
      <c r="B801" s="1694" t="s">
        <v>2048</v>
      </c>
      <c r="D801" s="1759"/>
      <c r="F801" s="1759"/>
      <c r="G801" s="1690"/>
      <c r="H801" s="1690"/>
      <c r="I801" s="1718"/>
    </row>
    <row r="802" spans="1:11" s="1692" customFormat="1" hidden="1">
      <c r="A802" s="2277"/>
      <c r="B802" s="1692" t="s">
        <v>2058</v>
      </c>
      <c r="D802" s="1759"/>
      <c r="F802" s="1759"/>
      <c r="G802" s="1690">
        <v>0</v>
      </c>
      <c r="H802" s="1690"/>
      <c r="I802" s="1718">
        <v>28</v>
      </c>
    </row>
    <row r="803" spans="1:11" s="1692" customFormat="1" ht="18" hidden="1" customHeight="1">
      <c r="A803" s="2277"/>
      <c r="D803" s="1759"/>
      <c r="F803" s="1759"/>
      <c r="G803" s="1732"/>
      <c r="H803" s="1733"/>
      <c r="I803" s="1690"/>
      <c r="J803" s="1690"/>
      <c r="K803" s="1718"/>
    </row>
    <row r="804" spans="1:11" s="1692" customFormat="1" ht="18" hidden="1" customHeight="1">
      <c r="A804" s="2277"/>
      <c r="D804" s="1759"/>
      <c r="F804" s="1759"/>
      <c r="G804" s="1732"/>
      <c r="H804" s="1733"/>
      <c r="I804" s="1690"/>
      <c r="J804" s="1690"/>
      <c r="K804" s="1718"/>
    </row>
    <row r="805" spans="1:11" s="1692" customFormat="1" hidden="1">
      <c r="A805" s="2320" t="s">
        <v>1511</v>
      </c>
      <c r="B805" s="2966" t="s">
        <v>2059</v>
      </c>
      <c r="C805" s="2966"/>
      <c r="D805" s="2966"/>
      <c r="E805" s="2966"/>
      <c r="F805" s="2966"/>
      <c r="G805" s="2966"/>
      <c r="H805" s="2966"/>
      <c r="I805" s="2966"/>
      <c r="J805" s="1690"/>
      <c r="K805" s="1718"/>
    </row>
    <row r="806" spans="1:11" s="1692" customFormat="1" hidden="1">
      <c r="A806" s="2320"/>
      <c r="B806" s="2966"/>
      <c r="C806" s="2966"/>
      <c r="D806" s="2966"/>
      <c r="E806" s="2966"/>
      <c r="F806" s="2966"/>
      <c r="G806" s="2966"/>
      <c r="H806" s="2966"/>
      <c r="I806" s="2966"/>
      <c r="J806" s="1690"/>
      <c r="K806" s="1718"/>
    </row>
    <row r="807" spans="1:11" s="1692" customFormat="1" hidden="1">
      <c r="A807" s="2277"/>
      <c r="B807" s="2966"/>
      <c r="C807" s="2966"/>
      <c r="D807" s="2966"/>
      <c r="E807" s="2966"/>
      <c r="F807" s="2966"/>
      <c r="G807" s="2966"/>
      <c r="H807" s="2966"/>
      <c r="I807" s="2966"/>
      <c r="J807" s="1690"/>
      <c r="K807" s="1718"/>
    </row>
    <row r="808" spans="1:11" s="1692" customFormat="1" ht="16.5" hidden="1" customHeight="1">
      <c r="A808" s="2277"/>
      <c r="D808" s="1759"/>
      <c r="F808" s="1759"/>
      <c r="G808" s="1732"/>
      <c r="H808" s="1733"/>
      <c r="I808" s="1690"/>
      <c r="J808" s="1690"/>
      <c r="K808" s="1718"/>
    </row>
    <row r="809" spans="1:11" s="1692" customFormat="1" hidden="1">
      <c r="A809" s="2320" t="s">
        <v>2060</v>
      </c>
      <c r="B809" s="2966" t="s">
        <v>2061</v>
      </c>
      <c r="C809" s="2966"/>
      <c r="D809" s="2966"/>
      <c r="E809" s="2966"/>
      <c r="F809" s="2966"/>
      <c r="G809" s="2966"/>
      <c r="H809" s="2966"/>
      <c r="I809" s="2966"/>
      <c r="J809" s="1690"/>
      <c r="K809" s="1718"/>
    </row>
    <row r="810" spans="1:11" s="1692" customFormat="1" hidden="1">
      <c r="A810" s="2277"/>
      <c r="B810" s="2966"/>
      <c r="C810" s="2966"/>
      <c r="D810" s="2966"/>
      <c r="E810" s="2966"/>
      <c r="F810" s="2966"/>
      <c r="G810" s="2966"/>
      <c r="H810" s="2966"/>
      <c r="I810" s="2966"/>
      <c r="J810" s="1690"/>
      <c r="K810" s="1718"/>
    </row>
    <row r="811" spans="1:11" s="1692" customFormat="1" hidden="1">
      <c r="A811" s="2277"/>
      <c r="B811" s="2284"/>
      <c r="C811" s="2284"/>
      <c r="D811" s="2284"/>
      <c r="E811" s="2284"/>
      <c r="F811" s="2284"/>
      <c r="G811" s="2284"/>
      <c r="H811" s="2284"/>
      <c r="I811" s="2284"/>
      <c r="J811" s="1690"/>
      <c r="K811" s="1718"/>
    </row>
    <row r="812" spans="1:11" s="1692" customFormat="1" hidden="1">
      <c r="A812" s="2305" t="s">
        <v>2062</v>
      </c>
      <c r="B812" s="2277" t="s">
        <v>2063</v>
      </c>
      <c r="C812" s="1735"/>
      <c r="D812" s="1735"/>
      <c r="E812" s="1735"/>
      <c r="F812" s="1794"/>
      <c r="G812" s="2314"/>
      <c r="H812" s="2314"/>
      <c r="I812" s="2316"/>
    </row>
    <row r="813" spans="1:11" s="1692" customFormat="1" hidden="1">
      <c r="A813" s="2305"/>
      <c r="B813" s="2277"/>
      <c r="C813" s="1735"/>
      <c r="D813" s="1735"/>
      <c r="E813" s="1735"/>
      <c r="F813" s="1794"/>
      <c r="G813" s="2314"/>
      <c r="H813" s="2314"/>
      <c r="I813" s="2316"/>
    </row>
    <row r="814" spans="1:11" s="1692" customFormat="1" hidden="1">
      <c r="A814" s="2305"/>
      <c r="B814" s="2277"/>
      <c r="C814" s="1735"/>
      <c r="D814" s="2994" t="s">
        <v>2032</v>
      </c>
      <c r="E814" s="2994"/>
      <c r="F814" s="2994"/>
      <c r="G814" s="2994"/>
      <c r="H814" s="2994"/>
      <c r="I814" s="2994"/>
    </row>
    <row r="815" spans="1:11" s="1692" customFormat="1" ht="15" hidden="1" customHeight="1">
      <c r="C815" s="1735"/>
      <c r="E815" s="2217" t="s">
        <v>2033</v>
      </c>
      <c r="F815" s="2217"/>
      <c r="H815" s="2321" t="s">
        <v>2033</v>
      </c>
      <c r="I815" s="2321"/>
    </row>
    <row r="816" spans="1:11" s="1692" customFormat="1" hidden="1">
      <c r="A816" s="2305"/>
      <c r="B816" s="1680"/>
      <c r="C816" s="1735"/>
      <c r="D816" s="2322"/>
      <c r="E816" s="2323" t="s">
        <v>2064</v>
      </c>
      <c r="F816" s="2323"/>
      <c r="G816" s="2322"/>
      <c r="H816" s="2324" t="s">
        <v>2065</v>
      </c>
      <c r="I816" s="2324"/>
    </row>
    <row r="817" spans="1:10" s="1692" customFormat="1" ht="15" hidden="1" customHeight="1">
      <c r="A817" s="2305"/>
      <c r="B817" s="1680"/>
      <c r="C817" s="1735"/>
      <c r="D817" s="2325" t="s">
        <v>2066</v>
      </c>
      <c r="E817" s="2217"/>
      <c r="F817" s="3010" t="s">
        <v>707</v>
      </c>
      <c r="G817" s="2326" t="s">
        <v>2066</v>
      </c>
      <c r="H817" s="2321"/>
      <c r="I817" s="3005" t="s">
        <v>707</v>
      </c>
    </row>
    <row r="818" spans="1:10" s="1692" customFormat="1" ht="15" hidden="1" customHeight="1">
      <c r="A818" s="2305"/>
      <c r="B818" s="1694" t="s">
        <v>2067</v>
      </c>
      <c r="C818" s="1735"/>
      <c r="E818" s="1735"/>
      <c r="F818" s="3011"/>
      <c r="G818" s="2314"/>
      <c r="H818" s="2314"/>
      <c r="I818" s="3006"/>
    </row>
    <row r="819" spans="1:10" s="1692" customFormat="1" ht="8.25" hidden="1" customHeight="1">
      <c r="A819" s="2305"/>
      <c r="B819" s="1694"/>
      <c r="C819" s="1735"/>
      <c r="E819" s="1735"/>
      <c r="F819" s="1794"/>
      <c r="G819" s="2314"/>
      <c r="H819" s="2314"/>
      <c r="I819" s="2316"/>
    </row>
    <row r="820" spans="1:10" s="1692" customFormat="1" ht="15" hidden="1" customHeight="1">
      <c r="A820" s="2305"/>
      <c r="B820" s="1692" t="s">
        <v>2035</v>
      </c>
      <c r="C820" s="1735"/>
      <c r="D820" s="2308">
        <f>'[40]RP Working 31 Dec 2016'!E3</f>
        <v>7408468</v>
      </c>
      <c r="E820" s="2308"/>
      <c r="F820" s="2308">
        <f>'[40]RP Working 31 Dec 2016'!F3</f>
        <v>750743078</v>
      </c>
      <c r="G820" s="2317">
        <v>2052204</v>
      </c>
      <c r="H820" s="2317"/>
      <c r="I820" s="2317">
        <v>207740</v>
      </c>
    </row>
    <row r="821" spans="1:10" s="1692" customFormat="1" hidden="1">
      <c r="A821" s="2305"/>
      <c r="B821" s="1692" t="s">
        <v>1517</v>
      </c>
      <c r="C821" s="1735"/>
      <c r="D821" s="1690">
        <v>0</v>
      </c>
      <c r="E821" s="1690"/>
      <c r="F821" s="1690">
        <v>0</v>
      </c>
      <c r="G821" s="1733">
        <v>9776355</v>
      </c>
      <c r="H821" s="2317"/>
      <c r="I821" s="1733">
        <v>985000</v>
      </c>
    </row>
    <row r="822" spans="1:10" s="1692" customFormat="1" hidden="1">
      <c r="A822" s="2305"/>
      <c r="B822" s="1692" t="s">
        <v>1583</v>
      </c>
      <c r="C822" s="1735"/>
      <c r="D822" s="1690">
        <v>0</v>
      </c>
      <c r="E822" s="1690"/>
      <c r="F822" s="1690">
        <v>0</v>
      </c>
      <c r="G822" s="1733">
        <v>7354780</v>
      </c>
      <c r="H822" s="2317"/>
      <c r="I822" s="1733">
        <v>750000</v>
      </c>
    </row>
    <row r="823" spans="1:10" s="1692" customFormat="1" ht="12" hidden="1" customHeight="1">
      <c r="A823" s="2305"/>
      <c r="B823" s="1692" t="s">
        <v>2068</v>
      </c>
      <c r="C823" s="1735"/>
      <c r="D823" s="1690">
        <f>'[40]RP Working 31 Dec 2016'!E25</f>
        <v>7962798</v>
      </c>
      <c r="E823" s="1690"/>
      <c r="F823" s="1690">
        <f>'[40]RP Working 31 Dec 2016'!F25</f>
        <v>800000000</v>
      </c>
      <c r="G823" s="1733">
        <v>0</v>
      </c>
      <c r="H823" s="2317"/>
      <c r="I823" s="1733">
        <v>0</v>
      </c>
      <c r="J823" s="1692">
        <f>D823/[40]BS!$K$32</f>
        <v>7.4359023061817867E-2</v>
      </c>
    </row>
    <row r="824" spans="1:10" s="1692" customFormat="1" hidden="1">
      <c r="A824" s="2305"/>
      <c r="B824" s="1692" t="s">
        <v>2069</v>
      </c>
      <c r="C824" s="1735"/>
      <c r="D824" s="1690">
        <f>'[40]RP Working 31 Dec 2016'!E167</f>
        <v>1138601</v>
      </c>
      <c r="E824" s="1690"/>
      <c r="F824" s="1690">
        <f>'[40]RP Working 31 Dec 2016'!F167</f>
        <v>115000000</v>
      </c>
      <c r="G824" s="1733">
        <v>0</v>
      </c>
      <c r="H824" s="2317"/>
      <c r="I824" s="1733">
        <v>0</v>
      </c>
      <c r="J824" s="1692">
        <f>D824/[40]BS!$K$32</f>
        <v>1.0632601507310482E-2</v>
      </c>
    </row>
    <row r="825" spans="1:10" s="1692" customFormat="1" hidden="1">
      <c r="A825" s="2305"/>
      <c r="B825" s="1692" t="s">
        <v>2070</v>
      </c>
      <c r="C825" s="1735"/>
      <c r="D825" s="1690">
        <f>'[40]RP Working 31 Dec 2016'!E174</f>
        <v>49572</v>
      </c>
      <c r="E825" s="1690"/>
      <c r="F825" s="1690">
        <f>'[40]RP Working 31 Dec 2016'!F174</f>
        <v>5000000</v>
      </c>
      <c r="G825" s="1733"/>
      <c r="H825" s="2317"/>
      <c r="I825" s="1733"/>
      <c r="J825" s="1692">
        <f>D825/[40]BS!$K$32</f>
        <v>4.6291837256457282E-4</v>
      </c>
    </row>
    <row r="826" spans="1:10" s="1692" customFormat="1" hidden="1">
      <c r="A826" s="2305"/>
      <c r="B826" s="1692" t="s">
        <v>2071</v>
      </c>
      <c r="C826" s="1735"/>
      <c r="D826" s="1690">
        <f>'[40]RP Working 31 Dec 2016'!E181</f>
        <v>147413</v>
      </c>
      <c r="E826" s="1690"/>
      <c r="F826" s="1690">
        <f>'[40]RP Working 31 Dec 2016'!F181</f>
        <v>15000000</v>
      </c>
      <c r="G826" s="1733">
        <v>0</v>
      </c>
      <c r="H826" s="2317"/>
      <c r="I826" s="1733">
        <v>0</v>
      </c>
      <c r="J826" s="1692">
        <f>D826/[40]BS!$K$32</f>
        <v>1.3765873084576248E-3</v>
      </c>
    </row>
    <row r="827" spans="1:10" s="1692" customFormat="1" hidden="1">
      <c r="A827" s="2305"/>
      <c r="B827" s="1692" t="s">
        <v>2072</v>
      </c>
      <c r="C827" s="1735"/>
      <c r="D827" s="1690">
        <f>'[40]RP Working 31 Dec 2016'!E189</f>
        <v>2185022</v>
      </c>
      <c r="E827" s="1690"/>
      <c r="F827" s="1690">
        <f>'[40]RP Working 31 Dec 2016'!F189</f>
        <v>224020000</v>
      </c>
      <c r="G827" s="1733">
        <v>0</v>
      </c>
      <c r="H827" s="2317"/>
      <c r="I827" s="1733">
        <v>0</v>
      </c>
      <c r="J827" s="1692">
        <f>D827/[40]BS!$K$32</f>
        <v>2.0404398213866456E-2</v>
      </c>
    </row>
    <row r="828" spans="1:10" s="1692" customFormat="1" hidden="1">
      <c r="A828" s="2305"/>
      <c r="B828" s="1692" t="s">
        <v>1702</v>
      </c>
      <c r="C828" s="1735"/>
      <c r="D828" s="1690">
        <f>'[40]RP Working 31 Dec 2016'!E10</f>
        <v>455460</v>
      </c>
      <c r="E828" s="1690"/>
      <c r="F828" s="1690">
        <f>'[40]RP Working 31 Dec 2016'!F10</f>
        <v>46350038</v>
      </c>
      <c r="G828" s="1733">
        <v>11963</v>
      </c>
      <c r="H828" s="2317"/>
      <c r="I828" s="1733">
        <v>1198</v>
      </c>
    </row>
    <row r="829" spans="1:10" s="1692" customFormat="1" hidden="1">
      <c r="A829" s="2305"/>
      <c r="B829" s="1692" t="s">
        <v>2073</v>
      </c>
      <c r="C829" s="1735"/>
      <c r="D829" s="1690">
        <f>'[40]RP Working 31 Dec 2016'!E17</f>
        <v>4621908</v>
      </c>
      <c r="E829" s="1690"/>
      <c r="F829" s="1690">
        <f>'[40]RP Working 31 Dec 2016'!F17</f>
        <v>470436704</v>
      </c>
      <c r="G829" s="1733">
        <v>661513</v>
      </c>
      <c r="H829" s="2317"/>
      <c r="I829" s="1733">
        <v>67356</v>
      </c>
    </row>
    <row r="830" spans="1:10" s="1692" customFormat="1" hidden="1">
      <c r="A830" s="2305"/>
      <c r="C830" s="1735"/>
      <c r="D830" s="1690"/>
      <c r="E830" s="1690"/>
      <c r="F830" s="1690"/>
      <c r="G830" s="1733"/>
      <c r="H830" s="2317"/>
      <c r="I830" s="1733"/>
    </row>
    <row r="831" spans="1:10" s="1692" customFormat="1" hidden="1">
      <c r="A831" s="2305"/>
      <c r="C831" s="1735"/>
      <c r="D831" s="2990" t="s">
        <v>2032</v>
      </c>
      <c r="E831" s="2990"/>
      <c r="F831" s="2990"/>
      <c r="G831" s="2990"/>
      <c r="H831" s="2990"/>
      <c r="I831" s="2990"/>
    </row>
    <row r="832" spans="1:10" s="1692" customFormat="1" hidden="1">
      <c r="A832" s="2305"/>
      <c r="C832" s="1735"/>
      <c r="D832" s="1732"/>
      <c r="E832" s="2287" t="s">
        <v>2033</v>
      </c>
      <c r="F832" s="2287"/>
      <c r="G832" s="1732"/>
      <c r="H832" s="2327" t="s">
        <v>2033</v>
      </c>
      <c r="I832" s="2327"/>
    </row>
    <row r="833" spans="1:9" s="1692" customFormat="1" hidden="1">
      <c r="A833" s="2305"/>
      <c r="C833" s="1735"/>
      <c r="D833" s="1732"/>
      <c r="E833" s="2328" t="s">
        <v>2064</v>
      </c>
      <c r="F833" s="2328"/>
      <c r="G833" s="1732"/>
      <c r="H833" s="2329" t="s">
        <v>2065</v>
      </c>
      <c r="I833" s="2329"/>
    </row>
    <row r="834" spans="1:9" s="1692" customFormat="1" ht="15" hidden="1" customHeight="1">
      <c r="A834" s="2305"/>
      <c r="C834" s="1735"/>
      <c r="D834" s="2325" t="s">
        <v>2066</v>
      </c>
      <c r="E834" s="2287"/>
      <c r="F834" s="2325" t="s">
        <v>707</v>
      </c>
      <c r="G834" s="3006" t="s">
        <v>2066</v>
      </c>
      <c r="H834" s="2327"/>
      <c r="I834" s="3006" t="s">
        <v>707</v>
      </c>
    </row>
    <row r="835" spans="1:9" s="1692" customFormat="1" ht="15" hidden="1" customHeight="1">
      <c r="A835" s="2305"/>
      <c r="C835" s="1735"/>
      <c r="D835" s="1690"/>
      <c r="E835" s="1690"/>
      <c r="F835" s="1690"/>
      <c r="G835" s="3006"/>
      <c r="H835" s="2317"/>
      <c r="I835" s="3006"/>
    </row>
    <row r="836" spans="1:9" s="1692" customFormat="1" ht="15" hidden="1" customHeight="1">
      <c r="A836" s="2305"/>
      <c r="C836" s="1735"/>
      <c r="D836" s="2994" t="s">
        <v>2032</v>
      </c>
      <c r="E836" s="2994"/>
      <c r="F836" s="2994"/>
      <c r="G836" s="2994"/>
      <c r="H836" s="2994"/>
      <c r="I836" s="2994"/>
    </row>
    <row r="837" spans="1:9" s="1692" customFormat="1" ht="15" hidden="1" customHeight="1">
      <c r="A837" s="2305"/>
      <c r="C837" s="1735"/>
      <c r="E837" s="2217" t="s">
        <v>2033</v>
      </c>
      <c r="F837" s="2217"/>
      <c r="H837" s="2321" t="s">
        <v>2033</v>
      </c>
      <c r="I837" s="2321"/>
    </row>
    <row r="838" spans="1:9" s="1692" customFormat="1" ht="15" hidden="1" customHeight="1">
      <c r="A838" s="2305"/>
      <c r="C838" s="1735"/>
      <c r="D838" s="2322"/>
      <c r="E838" s="2323" t="s">
        <v>2064</v>
      </c>
      <c r="F838" s="2323"/>
      <c r="G838" s="2322"/>
      <c r="H838" s="2324" t="s">
        <v>2065</v>
      </c>
      <c r="I838" s="2324"/>
    </row>
    <row r="839" spans="1:9" s="1692" customFormat="1" ht="15" hidden="1" customHeight="1">
      <c r="A839" s="2305"/>
      <c r="C839" s="1735"/>
      <c r="D839" s="2325" t="s">
        <v>2066</v>
      </c>
      <c r="E839" s="2217"/>
      <c r="F839" s="3010" t="s">
        <v>707</v>
      </c>
      <c r="G839" s="2326" t="s">
        <v>2066</v>
      </c>
      <c r="H839" s="2321"/>
      <c r="I839" s="3005" t="s">
        <v>707</v>
      </c>
    </row>
    <row r="840" spans="1:9" s="1692" customFormat="1" ht="14.25" hidden="1" customHeight="1">
      <c r="A840" s="2305"/>
      <c r="C840" s="1735"/>
      <c r="E840" s="1735"/>
      <c r="F840" s="3011"/>
      <c r="G840" s="2314"/>
      <c r="H840" s="2314"/>
      <c r="I840" s="3006"/>
    </row>
    <row r="841" spans="1:9" s="1692" customFormat="1" ht="14.25" hidden="1" customHeight="1">
      <c r="A841" s="2305"/>
      <c r="B841" s="1694" t="s">
        <v>2074</v>
      </c>
      <c r="C841" s="1735"/>
      <c r="E841" s="1735"/>
      <c r="F841" s="2325"/>
      <c r="G841" s="2314"/>
      <c r="H841" s="2314"/>
      <c r="I841" s="2326"/>
    </row>
    <row r="842" spans="1:9" s="1692" customFormat="1" ht="14.25" hidden="1" customHeight="1">
      <c r="A842" s="2305"/>
      <c r="B842" s="1694"/>
      <c r="C842" s="1735"/>
      <c r="D842" s="1690"/>
      <c r="E842" s="1690"/>
      <c r="F842" s="1690"/>
      <c r="G842" s="1733"/>
      <c r="H842" s="2317"/>
      <c r="I842" s="1733"/>
    </row>
    <row r="843" spans="1:9" s="1692" customFormat="1" ht="15" hidden="1" customHeight="1">
      <c r="A843" s="2305"/>
      <c r="B843" s="1692" t="s">
        <v>2035</v>
      </c>
      <c r="C843" s="1735"/>
      <c r="D843" s="1690">
        <f>-'[40]RP Working 31 Dec 2016'!E5</f>
        <v>4780261</v>
      </c>
      <c r="E843" s="1690"/>
      <c r="F843" s="1690">
        <f>-'[40]RP Working 31 Dec 2016'!F5</f>
        <v>485590525</v>
      </c>
      <c r="G843" s="1733">
        <v>2331191</v>
      </c>
      <c r="H843" s="2317"/>
      <c r="I843" s="1733">
        <v>235907</v>
      </c>
    </row>
    <row r="844" spans="1:9" s="1692" customFormat="1" hidden="1">
      <c r="A844" s="2305"/>
      <c r="B844" s="1692" t="s">
        <v>921</v>
      </c>
      <c r="C844" s="1735"/>
      <c r="D844" s="1690">
        <v>0</v>
      </c>
      <c r="E844" s="1690"/>
      <c r="F844" s="1690">
        <v>0</v>
      </c>
      <c r="G844" s="1733">
        <v>8655218</v>
      </c>
      <c r="H844" s="2317"/>
      <c r="I844" s="1733">
        <v>870529</v>
      </c>
    </row>
    <row r="845" spans="1:9" s="1692" customFormat="1" hidden="1">
      <c r="A845" s="2305"/>
      <c r="B845" s="1692" t="s">
        <v>2075</v>
      </c>
      <c r="C845" s="1735"/>
      <c r="D845" s="1690">
        <v>0</v>
      </c>
      <c r="E845" s="2308"/>
      <c r="F845" s="1690">
        <v>0</v>
      </c>
      <c r="G845" s="2317">
        <v>19131871</v>
      </c>
      <c r="H845" s="2317"/>
      <c r="I845" s="2317">
        <v>1924255</v>
      </c>
    </row>
    <row r="846" spans="1:9" s="1692" customFormat="1" hidden="1">
      <c r="A846" s="2305"/>
      <c r="B846" s="1692" t="s">
        <v>1676</v>
      </c>
      <c r="C846" s="1735"/>
      <c r="D846" s="1690">
        <f>-'[40]RP Working 31 Dec 2016'!E27</f>
        <v>7962798</v>
      </c>
      <c r="E846" s="2308"/>
      <c r="F846" s="1690">
        <f>-'[40]RP Working 31 Dec 2016'!F27</f>
        <v>800539878</v>
      </c>
      <c r="G846" s="2317">
        <v>15057137</v>
      </c>
      <c r="H846" s="2317"/>
      <c r="I846" s="2317">
        <v>1509401</v>
      </c>
    </row>
    <row r="847" spans="1:9" s="1692" customFormat="1" hidden="1">
      <c r="A847" s="2277"/>
      <c r="B847" s="1692" t="s">
        <v>2076</v>
      </c>
      <c r="C847" s="1735"/>
      <c r="D847" s="1690">
        <f>-'[40]RP Working 31 Dec 2016'!E169</f>
        <v>1138601</v>
      </c>
      <c r="E847" s="2308"/>
      <c r="F847" s="1690">
        <f>-'[40]RP Working 31 Dec 2016'!F169</f>
        <v>115292605</v>
      </c>
      <c r="G847" s="2317">
        <v>0</v>
      </c>
      <c r="H847" s="2317"/>
      <c r="I847" s="2317">
        <v>0</v>
      </c>
    </row>
    <row r="848" spans="1:9" s="1692" customFormat="1" hidden="1">
      <c r="A848" s="2277"/>
      <c r="B848" s="1692" t="s">
        <v>2077</v>
      </c>
      <c r="C848" s="1735"/>
      <c r="D848" s="1690">
        <f>-'[40]RP Working 31 Dec 2016'!E176</f>
        <v>49572</v>
      </c>
      <c r="E848" s="2308"/>
      <c r="F848" s="1690">
        <f>-'[40]RP Working 31 Dec 2016'!F176</f>
        <v>5045200</v>
      </c>
      <c r="G848" s="2317"/>
      <c r="H848" s="2317"/>
      <c r="I848" s="2317"/>
    </row>
    <row r="849" spans="1:10" s="1692" customFormat="1" hidden="1">
      <c r="A849" s="2277"/>
      <c r="B849" s="1692" t="s">
        <v>2078</v>
      </c>
      <c r="C849" s="1735"/>
      <c r="D849" s="1690">
        <f>-'[40]RP Working 31 Dec 2016'!E183</f>
        <v>147413</v>
      </c>
      <c r="E849" s="2308"/>
      <c r="F849" s="1690">
        <f>-'[40]RP Working 31 Dec 2016'!F183</f>
        <v>15048833</v>
      </c>
      <c r="G849" s="2317">
        <v>0</v>
      </c>
      <c r="H849" s="2317"/>
      <c r="I849" s="2317">
        <v>0</v>
      </c>
    </row>
    <row r="850" spans="1:10" s="1692" customFormat="1" hidden="1">
      <c r="A850" s="2277"/>
      <c r="B850" s="1692" t="s">
        <v>2079</v>
      </c>
      <c r="C850" s="1735"/>
      <c r="D850" s="1690">
        <f>-'[40]RP Working 31 Dec 2016'!E191</f>
        <v>1906029</v>
      </c>
      <c r="E850" s="2308"/>
      <c r="F850" s="1690">
        <f>-'[40]RP Working 31 Dec 2016'!F191</f>
        <v>194236141</v>
      </c>
      <c r="G850" s="2317">
        <v>0</v>
      </c>
      <c r="H850" s="2317"/>
      <c r="I850" s="2317">
        <v>0</v>
      </c>
    </row>
    <row r="851" spans="1:10" s="1692" customFormat="1" hidden="1">
      <c r="A851" s="2305"/>
      <c r="B851" s="1692" t="s">
        <v>1702</v>
      </c>
      <c r="C851" s="1735"/>
      <c r="D851" s="1690">
        <f>-'[40]RP Working 31 Dec 2016'!E12</f>
        <v>330630</v>
      </c>
      <c r="E851" s="1690"/>
      <c r="F851" s="1690">
        <f>-'[40]RP Working 31 Dec 2016'!F12</f>
        <v>33771757</v>
      </c>
      <c r="G851" s="1733">
        <v>316</v>
      </c>
      <c r="H851" s="2317"/>
      <c r="I851" s="1733">
        <v>32</v>
      </c>
    </row>
    <row r="852" spans="1:10" s="1692" customFormat="1" hidden="1">
      <c r="B852" s="1692" t="s">
        <v>2073</v>
      </c>
      <c r="C852" s="1735"/>
      <c r="D852" s="1690">
        <f>-'[40]RP Working 31 Dec 2016'!E19</f>
        <v>4099579</v>
      </c>
      <c r="E852" s="1690"/>
      <c r="F852" s="1690">
        <f>-'[40]RP Working 31 Dec 2016'!F19</f>
        <v>418051552</v>
      </c>
      <c r="G852" s="1733">
        <v>1297573</v>
      </c>
      <c r="H852" s="2317"/>
      <c r="I852" s="1733">
        <v>131697</v>
      </c>
    </row>
    <row r="853" spans="1:10" s="1692" customFormat="1" hidden="1">
      <c r="D853" s="1735"/>
      <c r="E853" s="2330"/>
      <c r="F853" s="1794"/>
      <c r="G853" s="2314"/>
      <c r="H853" s="2308"/>
      <c r="I853" s="2316"/>
    </row>
    <row r="854" spans="1:10" s="1692" customFormat="1" ht="14.25" hidden="1" customHeight="1">
      <c r="C854" s="1735"/>
      <c r="D854" s="2331" t="s">
        <v>1975</v>
      </c>
      <c r="E854" s="2331"/>
      <c r="F854" s="2331" t="s">
        <v>2019</v>
      </c>
      <c r="G854" s="2332" t="s">
        <v>1975</v>
      </c>
      <c r="H854" s="2331"/>
      <c r="I854" s="2332" t="s">
        <v>2019</v>
      </c>
    </row>
    <row r="855" spans="1:10" s="1692" customFormat="1" ht="4.5" hidden="1" customHeight="1">
      <c r="A855" s="2305"/>
      <c r="C855" s="1735"/>
      <c r="D855" s="2275"/>
      <c r="E855" s="2275"/>
      <c r="F855" s="2275"/>
      <c r="G855" s="2275"/>
      <c r="H855" s="2275"/>
      <c r="I855" s="1844"/>
    </row>
    <row r="856" spans="1:10" s="1692" customFormat="1" hidden="1">
      <c r="A856" s="2305"/>
      <c r="C856" s="1735"/>
      <c r="D856" s="2218">
        <v>2016</v>
      </c>
      <c r="E856" s="1694"/>
      <c r="F856" s="2217">
        <v>2016</v>
      </c>
      <c r="G856" s="2274">
        <v>2016</v>
      </c>
      <c r="I856" s="2321">
        <v>2016</v>
      </c>
    </row>
    <row r="857" spans="1:10" s="1692" customFormat="1" hidden="1">
      <c r="A857" s="2305"/>
      <c r="C857" s="1735"/>
      <c r="D857" s="2274"/>
      <c r="E857" s="2217" t="s">
        <v>2066</v>
      </c>
      <c r="F857" s="2217"/>
      <c r="H857" s="1689" t="s">
        <v>707</v>
      </c>
      <c r="I857" s="2325"/>
    </row>
    <row r="858" spans="1:10" s="1692" customFormat="1" hidden="1">
      <c r="A858" s="2305"/>
      <c r="B858" s="1694" t="s">
        <v>2080</v>
      </c>
      <c r="C858" s="1735"/>
      <c r="D858" s="1735"/>
      <c r="E858" s="1735"/>
      <c r="F858" s="1794"/>
      <c r="G858" s="2314"/>
      <c r="H858" s="2308"/>
      <c r="I858" s="2316"/>
    </row>
    <row r="859" spans="1:10" s="1692" customFormat="1" ht="15" hidden="1" customHeight="1">
      <c r="A859" s="2305"/>
      <c r="B859" s="1692" t="s">
        <v>2035</v>
      </c>
      <c r="C859" s="1735"/>
      <c r="D859" s="1690" t="e">
        <f>'[40]RP Working 31 Dec 2016'!E6</f>
        <v>#REF!</v>
      </c>
      <c r="E859" s="1690"/>
      <c r="F859" s="1733">
        <v>0</v>
      </c>
      <c r="G859" s="2308" t="e">
        <f>(D859*#REF!)/1000</f>
        <v>#REF!</v>
      </c>
      <c r="H859" s="2308"/>
      <c r="I859" s="2317">
        <v>0</v>
      </c>
      <c r="J859" s="1692" t="s">
        <v>2009</v>
      </c>
    </row>
    <row r="860" spans="1:10" s="1692" customFormat="1" ht="15" hidden="1" customHeight="1">
      <c r="A860" s="2305"/>
      <c r="B860" s="1692" t="s">
        <v>921</v>
      </c>
      <c r="C860" s="1735"/>
      <c r="D860" s="1690">
        <v>0</v>
      </c>
      <c r="E860" s="1690"/>
      <c r="F860" s="1733">
        <v>0</v>
      </c>
      <c r="G860" s="2308">
        <f>D860*103.1187/1000</f>
        <v>0</v>
      </c>
      <c r="H860" s="2308"/>
      <c r="I860" s="2317">
        <v>0</v>
      </c>
    </row>
    <row r="861" spans="1:10" s="1692" customFormat="1" ht="15" hidden="1" customHeight="1">
      <c r="A861" s="2305"/>
      <c r="B861" s="1692" t="s">
        <v>2081</v>
      </c>
      <c r="C861" s="1735"/>
      <c r="D861" s="1690">
        <v>0</v>
      </c>
      <c r="E861" s="1690"/>
      <c r="F861" s="1733">
        <v>0</v>
      </c>
      <c r="G861" s="2308">
        <f>D861*103.1187/1000</f>
        <v>0</v>
      </c>
      <c r="H861" s="2308"/>
      <c r="I861" s="2317">
        <v>0</v>
      </c>
    </row>
    <row r="862" spans="1:10" s="1692" customFormat="1" ht="15" hidden="1" customHeight="1">
      <c r="A862" s="2305"/>
      <c r="B862" s="1692" t="s">
        <v>2082</v>
      </c>
      <c r="C862" s="1735"/>
      <c r="D862" s="1690"/>
      <c r="E862" s="1690"/>
      <c r="F862" s="1733"/>
      <c r="G862" s="2308"/>
      <c r="H862" s="2308"/>
      <c r="I862" s="1733">
        <v>0</v>
      </c>
    </row>
    <row r="863" spans="1:10" s="1692" customFormat="1" ht="15" hidden="1" customHeight="1">
      <c r="A863" s="2305"/>
      <c r="B863" s="1692" t="s">
        <v>2083</v>
      </c>
      <c r="C863" s="1735"/>
      <c r="D863" s="1690">
        <v>0</v>
      </c>
      <c r="E863" s="1690"/>
      <c r="F863" s="1733">
        <v>0</v>
      </c>
      <c r="G863" s="2308">
        <v>0</v>
      </c>
      <c r="H863" s="2308"/>
      <c r="I863" s="1733">
        <v>0</v>
      </c>
    </row>
    <row r="864" spans="1:10" s="1692" customFormat="1" ht="15" hidden="1" customHeight="1">
      <c r="A864" s="2305"/>
      <c r="B864" s="1692" t="s">
        <v>2084</v>
      </c>
      <c r="C864" s="1735"/>
      <c r="D864" s="1690">
        <v>0</v>
      </c>
      <c r="E864" s="1690"/>
      <c r="F864" s="1733">
        <v>0</v>
      </c>
      <c r="G864" s="2308">
        <v>0</v>
      </c>
      <c r="H864" s="2308"/>
      <c r="I864" s="1733">
        <v>0</v>
      </c>
    </row>
    <row r="865" spans="1:9" s="1692" customFormat="1" ht="15" hidden="1" customHeight="1">
      <c r="A865" s="2305"/>
      <c r="B865" s="1692" t="s">
        <v>2085</v>
      </c>
      <c r="C865" s="1735"/>
      <c r="D865" s="1690"/>
      <c r="E865" s="1690"/>
      <c r="F865" s="1733"/>
      <c r="G865" s="2308"/>
      <c r="H865" s="2308"/>
      <c r="I865" s="1733">
        <v>0</v>
      </c>
    </row>
    <row r="866" spans="1:9" s="1692" customFormat="1" ht="15" hidden="1" customHeight="1">
      <c r="A866" s="2305"/>
      <c r="B866" s="1692" t="s">
        <v>1520</v>
      </c>
      <c r="D866" s="1690"/>
      <c r="E866" s="1690"/>
      <c r="F866" s="1733"/>
      <c r="G866" s="2308"/>
      <c r="H866" s="2308"/>
      <c r="I866" s="1733">
        <v>0</v>
      </c>
    </row>
    <row r="867" spans="1:9" s="1692" customFormat="1" ht="15" hidden="1" customHeight="1">
      <c r="A867" s="2305"/>
      <c r="B867" s="1692" t="s">
        <v>2075</v>
      </c>
      <c r="D867" s="1690"/>
      <c r="E867" s="1690"/>
      <c r="F867" s="1733"/>
      <c r="G867" s="2308"/>
      <c r="H867" s="2308"/>
      <c r="I867" s="1733">
        <v>0</v>
      </c>
    </row>
    <row r="868" spans="1:9" s="1692" customFormat="1" ht="15" hidden="1" customHeight="1">
      <c r="A868" s="2305"/>
      <c r="B868" s="1692" t="s">
        <v>1676</v>
      </c>
      <c r="D868" s="1690"/>
      <c r="E868" s="1690"/>
      <c r="F868" s="1733"/>
      <c r="G868" s="2308">
        <f>D868*103.1187/1000</f>
        <v>0</v>
      </c>
      <c r="H868" s="2308"/>
      <c r="I868" s="1733">
        <v>1915301</v>
      </c>
    </row>
    <row r="869" spans="1:9" s="1692" customFormat="1" ht="15" hidden="1" customHeight="1">
      <c r="A869" s="2305"/>
      <c r="B869" s="1692" t="s">
        <v>2086</v>
      </c>
      <c r="D869" s="1690"/>
      <c r="E869" s="1690"/>
      <c r="F869" s="1733"/>
      <c r="G869" s="2308">
        <f>D869*103.1187/1000</f>
        <v>0</v>
      </c>
      <c r="H869" s="2308"/>
      <c r="I869" s="2309">
        <v>1507378</v>
      </c>
    </row>
    <row r="870" spans="1:9" s="1692" customFormat="1" ht="15" hidden="1" customHeight="1">
      <c r="A870" s="2305"/>
      <c r="B870" s="1692" t="s">
        <v>2087</v>
      </c>
      <c r="C870" s="1735"/>
      <c r="D870" s="1690"/>
      <c r="E870" s="1690"/>
      <c r="F870" s="1733"/>
      <c r="G870" s="2308">
        <f>D870*103.1187/1000</f>
        <v>0</v>
      </c>
      <c r="H870" s="2308"/>
      <c r="I870" s="1733">
        <v>0</v>
      </c>
    </row>
    <row r="871" spans="1:9" s="1692" customFormat="1" ht="15" hidden="1" customHeight="1">
      <c r="A871" s="2305"/>
      <c r="B871" s="1692" t="s">
        <v>2079</v>
      </c>
      <c r="C871" s="1735"/>
      <c r="D871" s="1690" t="e">
        <f>'[40]RP Working 31 Dec 2016'!E192</f>
        <v>#REF!</v>
      </c>
      <c r="E871" s="1690"/>
      <c r="F871" s="1733">
        <v>659949</v>
      </c>
      <c r="G871" s="2308" t="e">
        <f>(D871*#REF!)/1000</f>
        <v>#REF!</v>
      </c>
      <c r="H871" s="2308"/>
      <c r="I871" s="1733">
        <v>66218</v>
      </c>
    </row>
    <row r="872" spans="1:9" s="1692" customFormat="1" ht="15" hidden="1" customHeight="1">
      <c r="A872" s="2305"/>
      <c r="B872" s="1692" t="s">
        <v>1702</v>
      </c>
      <c r="D872" s="1690" t="e">
        <f>'[40]RP Working 31 Dec 2016'!E13</f>
        <v>#REF!</v>
      </c>
      <c r="E872" s="1690"/>
      <c r="F872" s="1733">
        <v>16845</v>
      </c>
      <c r="G872" s="2308" t="e">
        <f>(D872*#REF!)/1000</f>
        <v>#REF!</v>
      </c>
      <c r="H872" s="2308"/>
      <c r="I872" s="2309">
        <v>1690</v>
      </c>
    </row>
    <row r="873" spans="1:9" s="1692" customFormat="1" ht="15" hidden="1" customHeight="1">
      <c r="A873" s="2305"/>
      <c r="B873" s="1692" t="s">
        <v>2073</v>
      </c>
      <c r="C873" s="1735"/>
      <c r="D873" s="1690" t="e">
        <f>'[40]RP Working 31 Dec 2016'!E20</f>
        <v>#REF!</v>
      </c>
      <c r="E873" s="1690"/>
      <c r="F873" s="1733">
        <v>17985</v>
      </c>
      <c r="G873" s="2308" t="e">
        <f>(D873*#REF!)/1000</f>
        <v>#REF!</v>
      </c>
      <c r="H873" s="2308"/>
      <c r="I873" s="2317">
        <v>1805</v>
      </c>
    </row>
    <row r="874" spans="1:9" s="1692" customFormat="1" ht="15" hidden="1" customHeight="1" thickBot="1">
      <c r="A874" s="2305"/>
      <c r="D874" s="2333">
        <f>'[40]RP Working 31 Dec 2016'!E154</f>
        <v>189776.9</v>
      </c>
      <c r="E874" s="1690"/>
      <c r="F874" s="2334">
        <f>323738+'[40]RP Working 31 Dec 2016'!L163</f>
        <v>825837</v>
      </c>
      <c r="G874" s="2335">
        <f>D874*103.1187/1000</f>
        <v>19569.547218030002</v>
      </c>
      <c r="H874" s="2308"/>
      <c r="I874" s="2336">
        <f>F874*100.1105/1000</f>
        <v>82674.954988500001</v>
      </c>
    </row>
    <row r="875" spans="1:9" s="1692" customFormat="1" ht="18.75" hidden="1" customHeight="1" thickTop="1">
      <c r="A875" s="2305"/>
      <c r="C875" s="1735"/>
      <c r="D875" s="1690"/>
      <c r="E875" s="2308"/>
      <c r="F875" s="2308"/>
      <c r="H875" s="2337"/>
      <c r="I875" s="1759"/>
    </row>
    <row r="876" spans="1:9" s="1692" customFormat="1" ht="15" hidden="1" customHeight="1">
      <c r="A876" s="2320" t="s">
        <v>2088</v>
      </c>
      <c r="B876" s="2966" t="s">
        <v>2089</v>
      </c>
      <c r="C876" s="2966"/>
      <c r="D876" s="2966"/>
      <c r="E876" s="2966"/>
      <c r="F876" s="2966"/>
      <c r="G876" s="2966"/>
      <c r="H876" s="2966"/>
      <c r="I876" s="2966"/>
    </row>
    <row r="877" spans="1:9" s="1692" customFormat="1" ht="15" hidden="1" customHeight="1">
      <c r="A877" s="2305"/>
      <c r="B877" s="2966"/>
      <c r="C877" s="2966"/>
      <c r="D877" s="2966"/>
      <c r="E877" s="2966"/>
      <c r="F877" s="2966"/>
      <c r="G877" s="2966"/>
      <c r="H877" s="2966"/>
      <c r="I877" s="2966"/>
    </row>
    <row r="878" spans="1:9" s="1692" customFormat="1" ht="15" hidden="1" customHeight="1">
      <c r="A878" s="2305"/>
      <c r="B878" s="2284"/>
      <c r="C878" s="2284"/>
      <c r="D878" s="2284"/>
      <c r="E878" s="2284"/>
      <c r="F878" s="2284"/>
      <c r="G878" s="2284"/>
      <c r="H878" s="2284"/>
      <c r="I878" s="2284"/>
    </row>
    <row r="879" spans="1:9" s="1692" customFormat="1" ht="15" hidden="1" customHeight="1">
      <c r="A879" s="2305" t="s">
        <v>1872</v>
      </c>
      <c r="B879" s="1794" t="s">
        <v>2090</v>
      </c>
      <c r="C879" s="1794"/>
      <c r="D879" s="2339"/>
      <c r="E879" s="2339"/>
      <c r="F879" s="2339"/>
      <c r="G879" s="1732"/>
    </row>
    <row r="880" spans="1:9" s="1692" customFormat="1" ht="15.75" hidden="1" customHeight="1">
      <c r="A880" s="2305"/>
      <c r="B880" s="1794"/>
      <c r="C880" s="1794"/>
      <c r="D880" s="2339"/>
      <c r="E880" s="2339"/>
      <c r="F880" s="2339"/>
      <c r="G880" s="1732"/>
    </row>
    <row r="881" spans="1:11" s="1692" customFormat="1" ht="15" hidden="1" customHeight="1">
      <c r="A881" s="2305">
        <f>A879+0.1</f>
        <v>14.1</v>
      </c>
      <c r="B881" s="2966" t="s">
        <v>2091</v>
      </c>
      <c r="C881" s="2966"/>
      <c r="D881" s="2966"/>
      <c r="E881" s="2966"/>
      <c r="F881" s="2966"/>
      <c r="G881" s="2966"/>
      <c r="H881" s="2966"/>
      <c r="I881" s="2966"/>
    </row>
    <row r="882" spans="1:11" s="1692" customFormat="1" ht="15" hidden="1" customHeight="1">
      <c r="A882" s="2305"/>
      <c r="B882" s="2966"/>
      <c r="C882" s="2966"/>
      <c r="D882" s="2966"/>
      <c r="E882" s="2966"/>
      <c r="F882" s="2966"/>
      <c r="G882" s="2966"/>
      <c r="H882" s="2966"/>
      <c r="I882" s="2966"/>
    </row>
    <row r="883" spans="1:11" s="1692" customFormat="1" ht="15" hidden="1" customHeight="1">
      <c r="A883" s="2305"/>
      <c r="C883" s="1735"/>
      <c r="D883" s="2338"/>
      <c r="E883" s="2339"/>
      <c r="F883" s="2339"/>
      <c r="G883" s="1732"/>
    </row>
    <row r="884" spans="1:11" s="1692" customFormat="1" ht="15" hidden="1" customHeight="1">
      <c r="A884" s="2972" t="str">
        <f>[40]BS!A41:L41</f>
        <v>MCB-Arif Habib Savings and Investments Limited</v>
      </c>
      <c r="B884" s="2972"/>
      <c r="C884" s="2972"/>
      <c r="D884" s="2972"/>
      <c r="E884" s="2972"/>
      <c r="F884" s="2972"/>
      <c r="G884" s="2972"/>
      <c r="H884" s="2972"/>
      <c r="I884" s="2972"/>
    </row>
    <row r="885" spans="1:11" s="1692" customFormat="1" ht="15" hidden="1" customHeight="1">
      <c r="A885" s="3015" t="s">
        <v>704</v>
      </c>
      <c r="B885" s="3015"/>
      <c r="C885" s="3015"/>
      <c r="D885" s="3015"/>
      <c r="E885" s="3015"/>
      <c r="F885" s="3015"/>
      <c r="G885" s="3015"/>
      <c r="H885" s="3015"/>
      <c r="I885" s="3015"/>
    </row>
    <row r="886" spans="1:11" s="1692" customFormat="1" ht="15" hidden="1" customHeight="1">
      <c r="A886" s="2218"/>
      <c r="B886" s="2218"/>
      <c r="C886" s="2218"/>
      <c r="D886" s="2218"/>
      <c r="E886" s="2218"/>
      <c r="F886" s="2218"/>
      <c r="G886" s="1922"/>
      <c r="H886" s="1922"/>
      <c r="I886" s="1922"/>
    </row>
    <row r="887" spans="1:11" s="1692" customFormat="1" ht="15" hidden="1" customHeight="1">
      <c r="A887" s="2218"/>
      <c r="B887" s="2218"/>
      <c r="C887" s="2218"/>
      <c r="D887" s="2218"/>
      <c r="E887" s="2218"/>
      <c r="F887" s="2218"/>
      <c r="G887" s="1922"/>
      <c r="H887" s="1922"/>
      <c r="I887" s="1922"/>
    </row>
    <row r="888" spans="1:11" s="1692" customFormat="1" ht="15" hidden="1" customHeight="1">
      <c r="A888" s="2218"/>
      <c r="B888" s="2218"/>
      <c r="C888" s="2218"/>
      <c r="D888" s="2218"/>
      <c r="E888" s="2218"/>
      <c r="F888" s="2218"/>
      <c r="G888" s="1922"/>
      <c r="H888" s="1922"/>
      <c r="I888" s="1922"/>
    </row>
    <row r="889" spans="1:11" s="1692" customFormat="1" ht="15" hidden="1" customHeight="1">
      <c r="A889" s="3016" t="s">
        <v>2092</v>
      </c>
      <c r="B889" s="3016"/>
      <c r="C889" s="3016"/>
      <c r="D889" s="3016"/>
      <c r="E889" s="3016"/>
      <c r="F889" s="3016"/>
      <c r="G889" s="3016"/>
      <c r="H889" s="3016"/>
      <c r="I889" s="3016"/>
    </row>
    <row r="890" spans="1:11" s="1692" customFormat="1" ht="9.9499999999999993" hidden="1" customHeight="1">
      <c r="A890" s="2219"/>
      <c r="B890" s="2219"/>
      <c r="C890" s="2219"/>
      <c r="D890" s="2219"/>
      <c r="E890" s="2219"/>
      <c r="F890" s="2219"/>
      <c r="G890" s="2219"/>
      <c r="H890" s="2219"/>
      <c r="I890" s="2219"/>
    </row>
    <row r="891" spans="1:11" s="1988" customFormat="1" ht="11.25" hidden="1">
      <c r="A891" s="2340"/>
      <c r="B891" s="2340"/>
      <c r="C891" s="2340"/>
      <c r="D891" s="3017" t="s">
        <v>2216</v>
      </c>
      <c r="E891" s="3017"/>
      <c r="F891" s="3017"/>
      <c r="G891" s="3017"/>
      <c r="H891" s="3017"/>
      <c r="I891" s="3017"/>
    </row>
    <row r="892" spans="1:11" s="1988" customFormat="1" ht="11.25" hidden="1">
      <c r="A892" s="2340"/>
      <c r="B892" s="2340"/>
      <c r="C892" s="2340"/>
      <c r="D892" s="2303" t="s">
        <v>1059</v>
      </c>
      <c r="E892" s="2147"/>
      <c r="F892" s="2055" t="s">
        <v>1060</v>
      </c>
      <c r="G892" s="2055" t="s">
        <v>1061</v>
      </c>
      <c r="H892" s="2303"/>
      <c r="I892" s="2055" t="s">
        <v>681</v>
      </c>
    </row>
    <row r="893" spans="1:11" s="1988" customFormat="1" ht="11.25" hidden="1">
      <c r="A893" s="2340"/>
      <c r="B893" s="2340"/>
      <c r="C893" s="2340"/>
      <c r="D893" s="3014" t="s">
        <v>2093</v>
      </c>
      <c r="E893" s="3014"/>
      <c r="F893" s="3014"/>
      <c r="G893" s="3014"/>
      <c r="H893" s="3014"/>
      <c r="I893" s="3014"/>
      <c r="K893" s="1988" t="s">
        <v>845</v>
      </c>
    </row>
    <row r="894" spans="1:11" s="1988" customFormat="1" ht="11.25" hidden="1">
      <c r="B894" s="2342" t="s">
        <v>2123</v>
      </c>
      <c r="D894" s="2343"/>
      <c r="E894" s="2147"/>
      <c r="F894" s="2343"/>
      <c r="G894" s="2343"/>
      <c r="H894" s="2341"/>
      <c r="I894" s="2148"/>
      <c r="K894" s="1988" t="s">
        <v>847</v>
      </c>
    </row>
    <row r="895" spans="1:11" s="1988" customFormat="1" ht="11.25" hidden="1">
      <c r="B895" s="2344" t="s">
        <v>846</v>
      </c>
      <c r="D895" s="2343">
        <v>0</v>
      </c>
      <c r="E895" s="2147"/>
      <c r="F895" s="2343">
        <f>'1-4.1'!G140</f>
        <v>0</v>
      </c>
      <c r="G895" s="2343">
        <v>0</v>
      </c>
      <c r="H895" s="2341"/>
      <c r="I895" s="2148">
        <f>SUM(D895:G895)</f>
        <v>0</v>
      </c>
    </row>
    <row r="896" spans="1:11" s="1988" customFormat="1" ht="11.25" hidden="1">
      <c r="B896" s="2344" t="s">
        <v>847</v>
      </c>
      <c r="D896" s="2343">
        <v>0</v>
      </c>
      <c r="E896" s="2147"/>
      <c r="F896" s="2343">
        <f>'1-4.1'!G141</f>
        <v>155499.50699999998</v>
      </c>
      <c r="G896" s="2343">
        <v>0</v>
      </c>
      <c r="H896" s="2341"/>
      <c r="I896" s="2148">
        <f>SUM(D896:G896)</f>
        <v>155499.50699999998</v>
      </c>
      <c r="K896" s="1988" t="s">
        <v>848</v>
      </c>
    </row>
    <row r="897" spans="1:11" s="1988" customFormat="1" ht="15" hidden="1" customHeight="1">
      <c r="B897" s="2344" t="s">
        <v>2232</v>
      </c>
      <c r="C897" s="2345"/>
      <c r="D897" s="2343">
        <v>0</v>
      </c>
      <c r="E897" s="2346"/>
      <c r="F897" s="2149">
        <f>'[42]Note 1-5'!K342+'[42]Note 1-5'!K344</f>
        <v>0</v>
      </c>
      <c r="G897" s="2149">
        <v>0</v>
      </c>
      <c r="H897" s="2057"/>
      <c r="I897" s="2148">
        <f>D897+F897+G897</f>
        <v>0</v>
      </c>
      <c r="K897" s="1988" t="s">
        <v>845</v>
      </c>
    </row>
    <row r="898" spans="1:11" s="1988" customFormat="1" ht="15" hidden="1" customHeight="1">
      <c r="B898" s="2347" t="s">
        <v>2094</v>
      </c>
      <c r="D898" s="2343">
        <v>0</v>
      </c>
      <c r="E898" s="2147"/>
      <c r="F898" s="2149">
        <f>'[42]Note 1-5'!K348</f>
        <v>0</v>
      </c>
      <c r="G898" s="2149">
        <v>0</v>
      </c>
      <c r="H898" s="2057"/>
      <c r="I898" s="2148">
        <f>D898+F898+G898</f>
        <v>0</v>
      </c>
    </row>
    <row r="899" spans="1:11" s="1988" customFormat="1" hidden="1" thickBot="1">
      <c r="B899" s="2273"/>
      <c r="C899" s="2346"/>
      <c r="D899" s="2348">
        <v>0</v>
      </c>
      <c r="E899" s="2349"/>
      <c r="F899" s="2348">
        <f>SUM(F894:F898)</f>
        <v>155499.50699999998</v>
      </c>
      <c r="G899" s="2350">
        <f>SUM(G894:G898)</f>
        <v>0</v>
      </c>
      <c r="H899" s="2351">
        <f>SUM(H894:H898)</f>
        <v>0</v>
      </c>
      <c r="I899" s="2350">
        <f>SUM(I894:I898)</f>
        <v>155499.50699999998</v>
      </c>
    </row>
    <row r="900" spans="1:11" s="1988" customFormat="1" ht="11.25" hidden="1">
      <c r="B900" s="2273"/>
      <c r="C900" s="2340"/>
      <c r="D900" s="2147"/>
      <c r="E900" s="2147"/>
      <c r="F900" s="2147"/>
      <c r="G900" s="2147"/>
      <c r="H900" s="2341"/>
      <c r="I900" s="1994"/>
    </row>
    <row r="901" spans="1:11" s="1988" customFormat="1" ht="11.25" hidden="1">
      <c r="B901" s="2273"/>
      <c r="C901" s="2340"/>
      <c r="D901" s="3017" t="s">
        <v>2095</v>
      </c>
      <c r="E901" s="3017"/>
      <c r="F901" s="3017"/>
      <c r="G901" s="3017"/>
      <c r="H901" s="3017"/>
      <c r="I901" s="3017"/>
    </row>
    <row r="902" spans="1:11" s="1988" customFormat="1" ht="11.25" hidden="1">
      <c r="B902" s="2273"/>
      <c r="C902" s="2340"/>
      <c r="D902" s="2303" t="s">
        <v>1059</v>
      </c>
      <c r="E902" s="2352"/>
      <c r="F902" s="2055" t="s">
        <v>1060</v>
      </c>
      <c r="G902" s="2055" t="s">
        <v>1061</v>
      </c>
      <c r="H902" s="2303"/>
      <c r="I902" s="2055" t="s">
        <v>681</v>
      </c>
    </row>
    <row r="903" spans="1:11" s="1988" customFormat="1" ht="11.25" hidden="1">
      <c r="B903" s="2273"/>
      <c r="C903" s="2340"/>
      <c r="D903" s="3014" t="s">
        <v>2093</v>
      </c>
      <c r="E903" s="3014"/>
      <c r="F903" s="3014"/>
      <c r="G903" s="3014"/>
      <c r="H903" s="3014"/>
      <c r="I903" s="3014"/>
    </row>
    <row r="904" spans="1:11" s="1988" customFormat="1" ht="11.25" hidden="1">
      <c r="B904" s="2192" t="s">
        <v>2164</v>
      </c>
      <c r="C904" s="2340"/>
      <c r="D904" s="2343"/>
      <c r="E904" s="2345"/>
      <c r="F904" s="2343"/>
      <c r="G904" s="2343"/>
      <c r="H904" s="2341"/>
      <c r="I904" s="2343"/>
    </row>
    <row r="905" spans="1:11" s="1988" customFormat="1" ht="11.25" hidden="1">
      <c r="B905" s="1988" t="s">
        <v>845</v>
      </c>
      <c r="C905" s="2340"/>
      <c r="D905" s="2343">
        <v>0</v>
      </c>
      <c r="E905" s="2345"/>
      <c r="F905" s="2343">
        <f>I139</f>
        <v>74794.649999999994</v>
      </c>
      <c r="G905" s="2343">
        <v>0</v>
      </c>
      <c r="H905" s="2341"/>
      <c r="I905" s="2343">
        <f>SUM(D905:G905)</f>
        <v>74794.649999999994</v>
      </c>
    </row>
    <row r="906" spans="1:11" s="1988" customFormat="1" ht="11.25" hidden="1">
      <c r="B906" s="1988" t="s">
        <v>846</v>
      </c>
      <c r="C906" s="2340"/>
      <c r="D906" s="2343">
        <v>0</v>
      </c>
      <c r="E906" s="2345"/>
      <c r="F906" s="2343">
        <f>I140</f>
        <v>0</v>
      </c>
      <c r="G906" s="2343">
        <v>0</v>
      </c>
      <c r="H906" s="2341"/>
      <c r="I906" s="2343">
        <f>SUM(D906:G906)</f>
        <v>0</v>
      </c>
    </row>
    <row r="907" spans="1:11" s="1988" customFormat="1" ht="11.25" hidden="1">
      <c r="B907" s="1988" t="s">
        <v>847</v>
      </c>
      <c r="C907" s="2340"/>
      <c r="D907" s="2353">
        <v>0</v>
      </c>
      <c r="E907" s="2345"/>
      <c r="F907" s="2353">
        <f>I141</f>
        <v>156232.99799999999</v>
      </c>
      <c r="G907" s="2353">
        <v>0</v>
      </c>
      <c r="H907" s="2341"/>
      <c r="I907" s="2353">
        <f>SUM(D907:G907)</f>
        <v>156232.99799999999</v>
      </c>
    </row>
    <row r="908" spans="1:11" s="1988" customFormat="1" ht="11.25" hidden="1">
      <c r="C908" s="2340"/>
      <c r="D908" s="2343">
        <f>SUM(D905:D907)</f>
        <v>0</v>
      </c>
      <c r="E908" s="2345"/>
      <c r="F908" s="2343">
        <f>SUM(F905:F907)</f>
        <v>231027.64799999999</v>
      </c>
      <c r="G908" s="2343">
        <f>SUM(G905:G907)</f>
        <v>0</v>
      </c>
      <c r="H908" s="2341"/>
      <c r="I908" s="2343">
        <f>SUM(I905:I907)</f>
        <v>231027.64799999999</v>
      </c>
    </row>
    <row r="909" spans="1:11" s="1988" customFormat="1" ht="11.25" hidden="1">
      <c r="B909" s="2342" t="s">
        <v>2198</v>
      </c>
      <c r="C909" s="2340"/>
      <c r="D909" s="2149"/>
      <c r="F909" s="2343"/>
      <c r="G909" s="2149"/>
      <c r="H909" s="2057"/>
      <c r="I909" s="2343"/>
    </row>
    <row r="910" spans="1:11" s="1988" customFormat="1" ht="11.25" hidden="1">
      <c r="B910" s="1988" t="s">
        <v>845</v>
      </c>
      <c r="C910" s="2340"/>
      <c r="D910" s="2149">
        <v>0</v>
      </c>
      <c r="F910" s="2343" t="e">
        <f>#REF!</f>
        <v>#REF!</v>
      </c>
      <c r="G910" s="2149">
        <v>0</v>
      </c>
      <c r="H910" s="2057"/>
      <c r="I910" s="2343" t="e">
        <f>SUM(D910:G910)</f>
        <v>#REF!</v>
      </c>
    </row>
    <row r="911" spans="1:11" s="1988" customFormat="1" hidden="1" thickBot="1">
      <c r="A911" s="2340"/>
      <c r="B911" s="2340"/>
      <c r="C911" s="2340"/>
      <c r="D911" s="2348">
        <f>D910+D908</f>
        <v>0</v>
      </c>
      <c r="E911" s="2349"/>
      <c r="F911" s="2348" t="e">
        <f>F910+F908</f>
        <v>#REF!</v>
      </c>
      <c r="G911" s="2348">
        <f>G910+G908</f>
        <v>0</v>
      </c>
      <c r="H911" s="2354"/>
      <c r="I911" s="2348" t="e">
        <f>I910+I908</f>
        <v>#REF!</v>
      </c>
    </row>
    <row r="912" spans="1:11" s="1692" customFormat="1">
      <c r="A912" s="2219"/>
      <c r="B912" s="2219"/>
      <c r="C912" s="2219"/>
      <c r="D912" s="1693"/>
      <c r="E912" s="1736"/>
      <c r="F912" s="1693"/>
      <c r="G912" s="1693"/>
      <c r="H912" s="1851"/>
      <c r="I912" s="1693"/>
    </row>
    <row r="913" spans="1:14" s="1692" customFormat="1">
      <c r="A913" s="1681">
        <f>A510+2</f>
        <v>16</v>
      </c>
      <c r="B913" s="1681" t="s">
        <v>2535</v>
      </c>
      <c r="C913" s="2843"/>
      <c r="D913" s="1693"/>
      <c r="E913" s="1736"/>
      <c r="F913" s="1693"/>
      <c r="G913" s="1693"/>
      <c r="H913" s="1851"/>
      <c r="I913" s="1693"/>
    </row>
    <row r="914" spans="1:14" s="1692" customFormat="1" ht="12" customHeight="1">
      <c r="A914" s="2840"/>
      <c r="B914" s="3007" t="s">
        <v>2536</v>
      </c>
      <c r="C914" s="3007"/>
      <c r="D914" s="3007"/>
      <c r="E914" s="3007"/>
      <c r="F914" s="3007"/>
      <c r="G914" s="3007"/>
      <c r="H914" s="3007"/>
      <c r="I914" s="3007"/>
      <c r="J914" s="2844"/>
      <c r="K914" s="2844"/>
      <c r="L914" s="2844"/>
      <c r="M914" s="2844"/>
      <c r="N914" s="2844"/>
    </row>
    <row r="915" spans="1:14" s="1692" customFormat="1" ht="12" customHeight="1">
      <c r="A915" s="2840"/>
      <c r="B915" s="3007"/>
      <c r="C915" s="3007"/>
      <c r="D915" s="3007"/>
      <c r="E915" s="3007"/>
      <c r="F915" s="3007"/>
      <c r="G915" s="3007"/>
      <c r="H915" s="3007"/>
      <c r="I915" s="3007"/>
      <c r="J915" s="2844"/>
      <c r="K915" s="2844"/>
      <c r="L915" s="2844"/>
      <c r="M915" s="2844"/>
      <c r="N915" s="2844"/>
    </row>
    <row r="916" spans="1:14" s="1692" customFormat="1" ht="13.5" customHeight="1">
      <c r="A916" s="2840"/>
      <c r="B916" s="3007"/>
      <c r="C916" s="3007"/>
      <c r="D916" s="3007"/>
      <c r="E916" s="3007"/>
      <c r="F916" s="3007"/>
      <c r="G916" s="3007"/>
      <c r="H916" s="3007"/>
      <c r="I916" s="3007"/>
      <c r="J916" s="2844"/>
      <c r="K916" s="2844"/>
      <c r="L916" s="2844"/>
      <c r="M916" s="2844"/>
      <c r="N916" s="2844"/>
    </row>
    <row r="917" spans="1:14" s="1692" customFormat="1" ht="12" customHeight="1">
      <c r="A917" s="2840"/>
      <c r="B917" s="3007" t="s">
        <v>2537</v>
      </c>
      <c r="C917" s="3007"/>
      <c r="D917" s="3007"/>
      <c r="E917" s="3007"/>
      <c r="F917" s="3007"/>
      <c r="G917" s="3007"/>
      <c r="H917" s="3007"/>
      <c r="I917" s="3007"/>
      <c r="J917" s="2844"/>
      <c r="K917" s="2844"/>
      <c r="L917" s="2844"/>
      <c r="M917" s="2844"/>
      <c r="N917" s="2844"/>
    </row>
    <row r="918" spans="1:14" s="1692" customFormat="1" ht="12" customHeight="1">
      <c r="A918" s="2840"/>
      <c r="B918" s="3007"/>
      <c r="C918" s="3007"/>
      <c r="D918" s="3007"/>
      <c r="E918" s="3007"/>
      <c r="F918" s="3007"/>
      <c r="G918" s="3007"/>
      <c r="H918" s="3007"/>
      <c r="I918" s="3007"/>
    </row>
    <row r="919" spans="1:14" s="1692" customFormat="1" ht="6.75" customHeight="1">
      <c r="A919" s="2840"/>
      <c r="B919" s="3007"/>
      <c r="C919" s="3007"/>
      <c r="D919" s="3007"/>
      <c r="E919" s="3007"/>
      <c r="F919" s="3007"/>
      <c r="G919" s="3007"/>
      <c r="H919" s="3007"/>
      <c r="I919" s="3007"/>
    </row>
    <row r="920" spans="1:14" s="1692" customFormat="1" ht="12" customHeight="1">
      <c r="A920" s="2840"/>
      <c r="B920" s="3007" t="s">
        <v>2538</v>
      </c>
      <c r="C920" s="3007"/>
      <c r="D920" s="3007"/>
      <c r="E920" s="3007"/>
      <c r="F920" s="3007"/>
      <c r="G920" s="3007"/>
      <c r="H920" s="3007"/>
      <c r="I920" s="3007"/>
      <c r="J920" s="2844"/>
      <c r="K920" s="2844"/>
      <c r="L920" s="2844"/>
      <c r="M920" s="2844"/>
      <c r="N920" s="2844"/>
    </row>
    <row r="921" spans="1:14" s="1692" customFormat="1" ht="12" customHeight="1">
      <c r="A921" s="2840"/>
      <c r="B921" s="3007"/>
      <c r="C921" s="3007"/>
      <c r="D921" s="3007"/>
      <c r="E921" s="3007"/>
      <c r="F921" s="3007"/>
      <c r="G921" s="3007"/>
      <c r="H921" s="3007"/>
      <c r="I921" s="3007"/>
      <c r="J921" s="2844"/>
      <c r="K921" s="2844"/>
      <c r="L921" s="2844"/>
      <c r="M921" s="2844"/>
      <c r="N921" s="2844"/>
    </row>
    <row r="922" spans="1:14" s="1692" customFormat="1" ht="17.25" customHeight="1">
      <c r="A922" s="2840"/>
      <c r="B922" s="3007"/>
      <c r="C922" s="3007"/>
      <c r="D922" s="3007"/>
      <c r="E922" s="3007"/>
      <c r="F922" s="3007"/>
      <c r="G922" s="3007"/>
      <c r="H922" s="3007"/>
      <c r="I922" s="3007"/>
      <c r="J922" s="2844"/>
      <c r="K922" s="2844"/>
      <c r="L922" s="2844"/>
      <c r="M922" s="2844"/>
      <c r="N922" s="2844"/>
    </row>
    <row r="923" spans="1:14" s="1692" customFormat="1" ht="12" customHeight="1">
      <c r="A923" s="2840"/>
      <c r="B923" s="2844"/>
      <c r="C923" s="2844"/>
      <c r="D923" s="2844"/>
      <c r="E923" s="2844"/>
      <c r="F923" s="2844"/>
      <c r="G923" s="2844"/>
      <c r="H923" s="2844"/>
      <c r="I923" s="2844"/>
      <c r="J923" s="2844"/>
      <c r="K923" s="2844"/>
      <c r="L923" s="2844"/>
      <c r="M923" s="2844"/>
      <c r="N923" s="2844"/>
    </row>
    <row r="924" spans="1:14" s="1692" customFormat="1" ht="15">
      <c r="A924" s="2840"/>
      <c r="B924" s="1681" t="s">
        <v>2539</v>
      </c>
      <c r="C924" s="1681"/>
      <c r="D924" s="2846"/>
      <c r="E924" s="2846"/>
      <c r="F924" s="2846"/>
      <c r="G924" s="2846"/>
      <c r="H924" s="2846"/>
      <c r="I924" s="2846"/>
      <c r="J924" s="2846"/>
      <c r="K924" s="2846"/>
      <c r="L924" s="2846"/>
      <c r="M924" s="2846"/>
      <c r="N924" s="2846"/>
    </row>
    <row r="925" spans="1:14" s="1692" customFormat="1">
      <c r="A925" s="2840"/>
      <c r="B925" s="2840"/>
      <c r="C925" s="2840"/>
      <c r="D925" s="1693"/>
      <c r="E925" s="1736"/>
      <c r="F925" s="1693"/>
      <c r="G925" s="1693"/>
      <c r="H925" s="1851"/>
      <c r="I925" s="1693"/>
    </row>
    <row r="926" spans="1:14" s="1692" customFormat="1" ht="12" customHeight="1">
      <c r="A926" s="2840"/>
      <c r="B926" s="3001" t="s">
        <v>2540</v>
      </c>
      <c r="C926" s="3001"/>
      <c r="D926" s="3001"/>
      <c r="E926" s="3001"/>
      <c r="F926" s="3001"/>
      <c r="G926" s="3001"/>
      <c r="H926" s="3001"/>
      <c r="I926" s="3001"/>
      <c r="J926" s="2844"/>
      <c r="K926" s="2844"/>
      <c r="L926" s="2844"/>
      <c r="M926" s="2844"/>
      <c r="N926" s="2844"/>
    </row>
    <row r="927" spans="1:14" s="1692" customFormat="1" ht="12" customHeight="1">
      <c r="A927" s="2840"/>
      <c r="B927" s="3001"/>
      <c r="C927" s="3001"/>
      <c r="D927" s="3001"/>
      <c r="E927" s="3001"/>
      <c r="F927" s="3001"/>
      <c r="G927" s="3001"/>
      <c r="H927" s="3001"/>
      <c r="I927" s="3001"/>
      <c r="J927" s="2844"/>
      <c r="K927" s="2844"/>
      <c r="L927" s="2844"/>
      <c r="M927" s="2844"/>
      <c r="N927" s="2844"/>
    </row>
    <row r="928" spans="1:14" s="1692" customFormat="1" ht="10.5" customHeight="1">
      <c r="A928" s="2840"/>
      <c r="B928" s="3001"/>
      <c r="C928" s="3001"/>
      <c r="D928" s="3001"/>
      <c r="E928" s="3001"/>
      <c r="F928" s="3001"/>
      <c r="G928" s="3001"/>
      <c r="H928" s="3001"/>
      <c r="I928" s="3001"/>
      <c r="J928" s="2844"/>
      <c r="K928" s="2844"/>
      <c r="L928" s="2844"/>
      <c r="M928" s="2844"/>
      <c r="N928" s="2844"/>
    </row>
    <row r="929" spans="1:14" s="1692" customFormat="1" ht="14.25">
      <c r="A929" s="2840"/>
      <c r="B929" s="2849"/>
      <c r="C929" s="2849"/>
      <c r="D929" s="2849"/>
      <c r="E929" s="2849"/>
      <c r="F929" s="2849"/>
      <c r="G929" s="2849"/>
      <c r="H929" s="2849"/>
      <c r="I929" s="2849"/>
      <c r="J929" s="2847"/>
      <c r="K929" s="2847"/>
      <c r="L929" s="2847"/>
      <c r="M929" s="2847"/>
      <c r="N929" s="2847"/>
    </row>
    <row r="930" spans="1:14" s="1692" customFormat="1" ht="14.25" customHeight="1">
      <c r="A930" s="2840"/>
      <c r="B930" s="3002" t="s">
        <v>2541</v>
      </c>
      <c r="C930" s="3002"/>
      <c r="D930" s="3002"/>
      <c r="E930" s="3002"/>
      <c r="F930" s="3002"/>
      <c r="G930" s="3002"/>
      <c r="H930" s="3002"/>
      <c r="I930" s="3002"/>
      <c r="J930" s="2844"/>
      <c r="K930" s="2844"/>
      <c r="L930" s="2844"/>
      <c r="M930" s="2844"/>
      <c r="N930" s="2844"/>
    </row>
    <row r="931" spans="1:14" s="1692" customFormat="1" ht="14.25">
      <c r="A931" s="2840"/>
      <c r="B931" s="2849"/>
      <c r="C931" s="2849"/>
      <c r="D931" s="2849"/>
      <c r="E931" s="2849"/>
      <c r="F931" s="2849"/>
      <c r="G931" s="2849"/>
      <c r="H931" s="2849"/>
      <c r="I931" s="2849"/>
      <c r="J931" s="2847"/>
      <c r="K931" s="2847"/>
      <c r="L931" s="2847"/>
      <c r="M931" s="2847"/>
      <c r="N931" s="2847"/>
    </row>
    <row r="932" spans="1:14" s="1692" customFormat="1" ht="25.5" customHeight="1">
      <c r="A932" s="2840"/>
      <c r="B932" s="3001" t="s">
        <v>2542</v>
      </c>
      <c r="C932" s="3001"/>
      <c r="D932" s="3001"/>
      <c r="E932" s="3001"/>
      <c r="F932" s="3001"/>
      <c r="G932" s="3001"/>
      <c r="H932" s="3001"/>
      <c r="I932" s="3001"/>
      <c r="J932" s="2844"/>
      <c r="K932" s="2844"/>
      <c r="L932" s="2844"/>
      <c r="M932" s="2844"/>
      <c r="N932" s="2844"/>
    </row>
    <row r="933" spans="1:14" s="1692" customFormat="1" ht="14.25">
      <c r="A933" s="2840"/>
      <c r="B933" s="2849"/>
      <c r="C933" s="2849"/>
      <c r="D933" s="2849"/>
      <c r="E933" s="2849"/>
      <c r="F933" s="2849"/>
      <c r="G933" s="2849"/>
      <c r="H933" s="2849"/>
      <c r="I933" s="2849"/>
      <c r="J933" s="2847"/>
      <c r="K933" s="2847"/>
      <c r="L933" s="2847"/>
      <c r="M933" s="2847"/>
      <c r="N933" s="2847"/>
    </row>
    <row r="934" spans="1:14" s="1692" customFormat="1" ht="17.25" customHeight="1">
      <c r="A934" s="2840"/>
      <c r="B934" s="3001" t="s">
        <v>2543</v>
      </c>
      <c r="C934" s="3001"/>
      <c r="D934" s="3001"/>
      <c r="E934" s="3001"/>
      <c r="F934" s="3001"/>
      <c r="G934" s="3001"/>
      <c r="H934" s="3001"/>
      <c r="I934" s="3001"/>
      <c r="J934" s="2844"/>
      <c r="K934" s="2844"/>
      <c r="L934" s="2844"/>
      <c r="M934" s="2844"/>
      <c r="N934" s="2844"/>
    </row>
    <row r="935" spans="1:14" s="1692" customFormat="1" ht="17.25" customHeight="1">
      <c r="A935" s="2841"/>
      <c r="B935" s="2850"/>
      <c r="C935" s="2850"/>
      <c r="D935" s="2850"/>
      <c r="E935" s="2850"/>
      <c r="F935" s="2850"/>
      <c r="G935" s="2850"/>
      <c r="H935" s="2850"/>
      <c r="I935" s="2850"/>
      <c r="J935" s="2844"/>
      <c r="K935" s="2844"/>
      <c r="L935" s="2844"/>
      <c r="M935" s="2844"/>
      <c r="N935" s="2844"/>
    </row>
    <row r="936" spans="1:14" s="1692" customFormat="1" ht="15" customHeight="1">
      <c r="A936" s="1609">
        <f>A913+1</f>
        <v>17</v>
      </c>
      <c r="B936" s="1681" t="s">
        <v>2544</v>
      </c>
      <c r="C936" s="2845"/>
      <c r="D936" s="2845"/>
      <c r="E936" s="2845"/>
      <c r="F936" s="2845"/>
      <c r="G936" s="2845"/>
      <c r="H936" s="2845"/>
      <c r="I936" s="2845"/>
      <c r="J936" s="2844"/>
      <c r="K936" s="2844"/>
      <c r="L936" s="2844"/>
      <c r="M936" s="2844"/>
      <c r="N936" s="2844"/>
    </row>
    <row r="937" spans="1:14" s="1692" customFormat="1" ht="14.25">
      <c r="A937" s="2840"/>
      <c r="B937" s="3001" t="s">
        <v>2545</v>
      </c>
      <c r="C937" s="3008"/>
      <c r="D937" s="3008"/>
      <c r="E937" s="3008"/>
      <c r="F937" s="3008"/>
      <c r="G937" s="3008"/>
      <c r="H937" s="3008"/>
      <c r="I937" s="3008"/>
      <c r="J937" s="2844"/>
      <c r="K937" s="2844"/>
      <c r="L937" s="2844"/>
      <c r="M937" s="2844"/>
      <c r="N937" s="2844"/>
    </row>
    <row r="938" spans="1:14" s="1692" customFormat="1" ht="14.25">
      <c r="A938" s="2840"/>
      <c r="B938" s="3008"/>
      <c r="C938" s="3008"/>
      <c r="D938" s="3008"/>
      <c r="E938" s="3008"/>
      <c r="F938" s="3008"/>
      <c r="G938" s="3008"/>
      <c r="H938" s="3008"/>
      <c r="I938" s="3008"/>
      <c r="J938" s="2844"/>
      <c r="K938" s="2844"/>
      <c r="L938" s="2844"/>
      <c r="M938" s="2844"/>
      <c r="N938" s="2844"/>
    </row>
    <row r="939" spans="1:14" s="1692" customFormat="1" ht="14.25">
      <c r="A939" s="2840"/>
      <c r="B939" s="3008"/>
      <c r="C939" s="3008"/>
      <c r="D939" s="3008"/>
      <c r="E939" s="3008"/>
      <c r="F939" s="3008"/>
      <c r="G939" s="3008"/>
      <c r="H939" s="3008"/>
      <c r="I939" s="3008"/>
      <c r="J939" s="2844"/>
      <c r="K939" s="2844"/>
      <c r="L939" s="2844"/>
      <c r="M939" s="2844"/>
      <c r="N939" s="2844"/>
    </row>
    <row r="940" spans="1:14" s="1692" customFormat="1" ht="14.25">
      <c r="A940" s="2840"/>
      <c r="B940" s="3008"/>
      <c r="C940" s="3008"/>
      <c r="D940" s="3008"/>
      <c r="E940" s="3008"/>
      <c r="F940" s="3008"/>
      <c r="G940" s="3008"/>
      <c r="H940" s="3008"/>
      <c r="I940" s="3008"/>
      <c r="J940" s="2844"/>
      <c r="K940" s="2844"/>
      <c r="L940" s="2844"/>
      <c r="M940" s="2844"/>
      <c r="N940" s="2844"/>
    </row>
    <row r="941" spans="1:14" s="1692" customFormat="1" ht="14.25">
      <c r="A941" s="2840"/>
      <c r="B941" s="3008"/>
      <c r="C941" s="3008"/>
      <c r="D941" s="3008"/>
      <c r="E941" s="3008"/>
      <c r="F941" s="3008"/>
      <c r="G941" s="3008"/>
      <c r="H941" s="3008"/>
      <c r="I941" s="3008"/>
      <c r="J941" s="2844"/>
      <c r="K941" s="2844"/>
      <c r="L941" s="2844"/>
      <c r="M941" s="2844"/>
      <c r="N941" s="2844"/>
    </row>
    <row r="942" spans="1:14" s="1692" customFormat="1" ht="14.25">
      <c r="A942" s="2840"/>
      <c r="B942" s="3008"/>
      <c r="C942" s="3008"/>
      <c r="D942" s="3008"/>
      <c r="E942" s="3008"/>
      <c r="F942" s="3008"/>
      <c r="G942" s="3008"/>
      <c r="H942" s="3008"/>
      <c r="I942" s="3008"/>
      <c r="J942" s="2844"/>
      <c r="K942" s="2844"/>
      <c r="L942" s="2844"/>
      <c r="M942" s="2844"/>
      <c r="N942" s="2844"/>
    </row>
    <row r="943" spans="1:14" s="1692" customFormat="1" ht="14.25">
      <c r="A943" s="2840"/>
      <c r="B943" s="3008"/>
      <c r="C943" s="3008"/>
      <c r="D943" s="3008"/>
      <c r="E943" s="3008"/>
      <c r="F943" s="3008"/>
      <c r="G943" s="3008"/>
      <c r="H943" s="3008"/>
      <c r="I943" s="3008"/>
      <c r="J943" s="2844"/>
      <c r="K943" s="2844"/>
      <c r="L943" s="2844"/>
      <c r="M943" s="2844"/>
      <c r="N943" s="2844"/>
    </row>
    <row r="944" spans="1:14" s="1692" customFormat="1" ht="2.25" customHeight="1">
      <c r="A944" s="2840"/>
      <c r="B944" s="3008"/>
      <c r="C944" s="3008"/>
      <c r="D944" s="3008"/>
      <c r="E944" s="3008"/>
      <c r="F944" s="3008"/>
      <c r="G944" s="3008"/>
      <c r="H944" s="3008"/>
      <c r="I944" s="3008"/>
      <c r="J944" s="2844"/>
      <c r="K944" s="2844"/>
      <c r="L944" s="2844"/>
      <c r="M944" s="2844"/>
      <c r="N944" s="2844"/>
    </row>
    <row r="945" spans="1:12" s="1692" customFormat="1">
      <c r="A945" s="2840"/>
      <c r="B945" s="2840"/>
      <c r="C945" s="2840"/>
      <c r="D945" s="1693"/>
      <c r="E945" s="1736"/>
      <c r="F945" s="1693"/>
      <c r="G945" s="1693"/>
      <c r="H945" s="1851"/>
      <c r="I945" s="1693"/>
    </row>
    <row r="946" spans="1:12" s="1692" customFormat="1">
      <c r="A946" s="2152">
        <f>A936+1</f>
        <v>18</v>
      </c>
      <c r="B946" s="1694" t="s">
        <v>1067</v>
      </c>
      <c r="C946" s="1694"/>
      <c r="J946" s="1727"/>
      <c r="K946" s="1759"/>
      <c r="L946" s="1759"/>
    </row>
    <row r="947" spans="1:12" s="1692" customFormat="1">
      <c r="A947" s="2152"/>
      <c r="B947" s="1694"/>
      <c r="C947" s="1694"/>
      <c r="J947" s="1727"/>
      <c r="K947" s="1759"/>
      <c r="L947" s="1759"/>
    </row>
    <row r="948" spans="1:12" s="1692" customFormat="1">
      <c r="A948" s="1612">
        <f>A946+0.1</f>
        <v>18.100000000000001</v>
      </c>
      <c r="B948" s="1692" t="s">
        <v>2105</v>
      </c>
      <c r="C948" s="1694"/>
      <c r="J948" s="1727"/>
      <c r="K948" s="1759"/>
      <c r="L948" s="1759"/>
    </row>
    <row r="949" spans="1:12" s="1692" customFormat="1">
      <c r="A949" s="2153"/>
      <c r="C949" s="1694"/>
      <c r="J949" s="1727"/>
      <c r="K949" s="1759"/>
      <c r="L949" s="1759"/>
    </row>
    <row r="950" spans="1:12" s="1692" customFormat="1">
      <c r="A950" s="1612">
        <f>A948+0.1</f>
        <v>18.200000000000003</v>
      </c>
      <c r="B950" s="3003" t="s">
        <v>2272</v>
      </c>
      <c r="C950" s="3004"/>
      <c r="D950" s="3004"/>
      <c r="E950" s="3004"/>
      <c r="F950" s="3004"/>
      <c r="G950" s="3004"/>
      <c r="H950" s="3004"/>
      <c r="I950" s="3004"/>
      <c r="J950" s="1727"/>
      <c r="K950" s="1759"/>
      <c r="L950" s="1759"/>
    </row>
    <row r="951" spans="1:12" s="1692" customFormat="1">
      <c r="A951" s="2153"/>
      <c r="B951" s="3004"/>
      <c r="C951" s="3004"/>
      <c r="D951" s="3004"/>
      <c r="E951" s="3004"/>
      <c r="F951" s="3004"/>
      <c r="G951" s="3004"/>
      <c r="H951" s="3004"/>
      <c r="I951" s="3004"/>
      <c r="J951" s="1727"/>
      <c r="K951" s="1759"/>
      <c r="L951" s="1759"/>
    </row>
    <row r="952" spans="1:12" s="1692" customFormat="1">
      <c r="B952" s="3004"/>
      <c r="C952" s="3004"/>
      <c r="D952" s="3004"/>
      <c r="E952" s="3004"/>
      <c r="F952" s="3004"/>
      <c r="G952" s="3004"/>
      <c r="H952" s="3004"/>
      <c r="I952" s="3004"/>
      <c r="J952" s="1727"/>
      <c r="K952" s="1759"/>
      <c r="L952" s="1759"/>
    </row>
    <row r="953" spans="1:12" s="1692" customFormat="1">
      <c r="B953" s="2290"/>
      <c r="C953" s="2290"/>
      <c r="D953" s="2290"/>
      <c r="E953" s="2290"/>
      <c r="F953" s="2290"/>
      <c r="G953" s="2290"/>
      <c r="H953" s="2290"/>
      <c r="I953" s="2290"/>
      <c r="J953" s="1727"/>
      <c r="K953" s="1759"/>
      <c r="L953" s="1759"/>
    </row>
    <row r="954" spans="1:12" s="1692" customFormat="1">
      <c r="A954" s="2152">
        <f>A946+1</f>
        <v>19</v>
      </c>
      <c r="B954" s="1694" t="s">
        <v>1068</v>
      </c>
      <c r="J954" s="1727"/>
      <c r="K954" s="1759"/>
      <c r="L954" s="1759"/>
    </row>
    <row r="955" spans="1:12" s="1692" customFormat="1">
      <c r="J955" s="1727"/>
      <c r="K955" s="1759"/>
      <c r="L955" s="1759"/>
    </row>
    <row r="956" spans="1:12" s="1678" customFormat="1">
      <c r="A956" s="1692"/>
      <c r="B956" s="2973" t="s">
        <v>2399</v>
      </c>
      <c r="C956" s="2973"/>
      <c r="D956" s="2973"/>
      <c r="E956" s="2973"/>
      <c r="F956" s="2973"/>
      <c r="G956" s="2973"/>
      <c r="H956" s="2973"/>
      <c r="I956" s="2973"/>
      <c r="J956" s="1677"/>
    </row>
    <row r="957" spans="1:12" s="1692" customFormat="1">
      <c r="A957" s="1687"/>
      <c r="B957" s="2973"/>
      <c r="C957" s="2973"/>
      <c r="D957" s="2973"/>
      <c r="E957" s="2973"/>
      <c r="F957" s="2973"/>
      <c r="G957" s="2973"/>
      <c r="H957" s="2973"/>
      <c r="I957" s="2973"/>
      <c r="J957" s="1677"/>
      <c r="K957" s="1759"/>
      <c r="L957" s="1759"/>
    </row>
    <row r="958" spans="1:12" s="1692" customFormat="1">
      <c r="J958" s="1759"/>
      <c r="K958" s="1759"/>
      <c r="L958" s="1759"/>
    </row>
    <row r="959" spans="1:12" s="1692" customFormat="1">
      <c r="J959" s="1759"/>
      <c r="K959" s="1759"/>
      <c r="L959" s="1759"/>
    </row>
    <row r="960" spans="1:12" s="1692" customFormat="1">
      <c r="A960" s="1922" t="str">
        <f>BS!$A$49</f>
        <v xml:space="preserve">                                                       For MCB-Arif Habib Savings and Investments Limited</v>
      </c>
      <c r="B960" s="1929"/>
      <c r="C960" s="1929"/>
      <c r="D960" s="1929"/>
      <c r="E960" s="1929"/>
      <c r="F960" s="1929"/>
      <c r="G960" s="1929"/>
    </row>
    <row r="961" spans="1:9" s="1692" customFormat="1">
      <c r="A961" s="1675" t="str">
        <f>BS!$A$50</f>
        <v xml:space="preserve">                                                                               (Management Company)</v>
      </c>
      <c r="B961" s="1929"/>
      <c r="C961" s="1929"/>
      <c r="D961" s="1929"/>
      <c r="E961" s="1929"/>
      <c r="F961" s="1929"/>
      <c r="G961" s="1930"/>
    </row>
    <row r="962" spans="1:9" s="1692" customFormat="1">
      <c r="A962" s="1931"/>
      <c r="B962" s="1931"/>
      <c r="C962" s="1932"/>
      <c r="D962" s="1932"/>
      <c r="E962" s="1932"/>
      <c r="F962" s="1934"/>
      <c r="G962" s="1935"/>
    </row>
    <row r="963" spans="1:9" s="1692" customFormat="1">
      <c r="A963" s="1931"/>
      <c r="B963" s="1931"/>
      <c r="C963" s="1932"/>
      <c r="D963" s="1932"/>
      <c r="E963" s="1932"/>
      <c r="F963" s="1934"/>
      <c r="G963" s="1935"/>
    </row>
    <row r="964" spans="1:9" s="1692" customFormat="1">
      <c r="A964" s="1931"/>
      <c r="B964" s="1931"/>
      <c r="C964" s="1932"/>
      <c r="D964" s="1932"/>
      <c r="E964" s="1932"/>
      <c r="F964" s="1934"/>
      <c r="G964" s="1935"/>
    </row>
    <row r="965" spans="1:9" s="1692" customFormat="1">
      <c r="A965" s="1931"/>
      <c r="B965" s="1931"/>
      <c r="C965" s="1932"/>
      <c r="D965" s="1932"/>
      <c r="E965" s="1932"/>
      <c r="F965" s="1934"/>
      <c r="G965" s="1935"/>
    </row>
    <row r="966" spans="1:9" s="1692" customFormat="1">
      <c r="A966" s="1922" t="str">
        <f>BS!$A$55</f>
        <v xml:space="preserve">           _____________________                          _____________________                          _____________________</v>
      </c>
      <c r="D966" s="1932"/>
      <c r="E966" s="1932"/>
      <c r="F966" s="1936"/>
      <c r="G966" s="1935"/>
    </row>
    <row r="967" spans="1:9" s="1692" customFormat="1">
      <c r="A967" s="1675" t="str">
        <f>BS!$A$56</f>
        <v xml:space="preserve">            Chief Executive Officer                              Chief Financial Officer                                          Director</v>
      </c>
      <c r="D967" s="1932"/>
      <c r="E967" s="1932"/>
      <c r="F967" s="1937"/>
      <c r="G967" s="1935"/>
    </row>
    <row r="968" spans="1:9" s="1730" customFormat="1">
      <c r="A968" s="1570"/>
      <c r="B968" s="1569"/>
      <c r="C968" s="1732"/>
      <c r="D968" s="1689"/>
      <c r="E968" s="1733"/>
      <c r="F968" s="1733"/>
      <c r="G968" s="1733"/>
      <c r="H968" s="1733"/>
      <c r="I968" s="1733"/>
    </row>
    <row r="969" spans="1:9" s="1730" customFormat="1">
      <c r="A969" s="1570"/>
      <c r="B969" s="1569"/>
      <c r="C969" s="1732"/>
      <c r="D969" s="1689"/>
      <c r="E969" s="1733"/>
      <c r="F969" s="1733"/>
      <c r="G969" s="1733"/>
      <c r="H969" s="1733"/>
      <c r="I969" s="1733"/>
    </row>
    <row r="970" spans="1:9" s="1573" customFormat="1">
      <c r="A970" s="1571"/>
      <c r="B970" s="1572"/>
      <c r="D970" s="1577"/>
      <c r="E970" s="1851"/>
      <c r="F970" s="1851"/>
      <c r="G970" s="1851"/>
      <c r="H970" s="1851"/>
      <c r="I970" s="1851"/>
    </row>
    <row r="971" spans="1:9" s="1730" customFormat="1">
      <c r="A971" s="1559"/>
      <c r="B971" s="1568"/>
      <c r="D971" s="1917"/>
      <c r="E971" s="1917"/>
      <c r="F971" s="1917"/>
      <c r="G971" s="1917"/>
      <c r="H971" s="1917"/>
      <c r="I971" s="1728"/>
    </row>
    <row r="972" spans="1:9" s="1730" customFormat="1">
      <c r="A972" s="1559"/>
      <c r="B972" s="1568"/>
      <c r="D972" s="1917"/>
      <c r="E972" s="1917"/>
      <c r="F972" s="1917"/>
      <c r="G972" s="1917"/>
      <c r="H972" s="1917"/>
      <c r="I972" s="1728"/>
    </row>
    <row r="973" spans="1:9" s="1730" customFormat="1">
      <c r="A973" s="1559"/>
      <c r="B973" s="1568"/>
      <c r="D973" s="1917"/>
      <c r="E973" s="1917"/>
      <c r="F973" s="1917"/>
      <c r="G973" s="1917"/>
      <c r="H973" s="1917"/>
      <c r="I973" s="1728"/>
    </row>
    <row r="974" spans="1:9" s="1730" customFormat="1">
      <c r="A974" s="1559"/>
      <c r="B974" s="1569"/>
      <c r="C974" s="1732"/>
      <c r="D974" s="1689"/>
      <c r="E974" s="1733"/>
      <c r="F974" s="1733"/>
      <c r="G974" s="1733"/>
      <c r="H974" s="1733"/>
      <c r="I974" s="1733"/>
    </row>
    <row r="975" spans="1:9" s="1730" customFormat="1">
      <c r="A975" s="1559"/>
      <c r="B975" s="1569"/>
      <c r="C975" s="1732"/>
      <c r="D975" s="1689"/>
      <c r="E975" s="1733"/>
      <c r="F975" s="1733"/>
      <c r="G975" s="1733"/>
      <c r="H975" s="1733"/>
      <c r="I975" s="1733"/>
    </row>
    <row r="976" spans="1:9" s="1730" customFormat="1">
      <c r="A976" s="1559"/>
      <c r="B976" s="1568"/>
      <c r="C976" s="1732"/>
      <c r="D976" s="1689"/>
      <c r="E976" s="1733"/>
      <c r="F976" s="1733"/>
      <c r="G976" s="1733"/>
      <c r="H976" s="1733"/>
      <c r="I976" s="1733"/>
    </row>
    <row r="977" spans="1:9" s="1730" customFormat="1">
      <c r="A977" s="1559"/>
      <c r="B977" s="1568"/>
      <c r="C977" s="1732"/>
      <c r="D977" s="1689"/>
      <c r="E977" s="1733"/>
      <c r="F977" s="1733"/>
      <c r="G977" s="1733"/>
      <c r="H977" s="1733"/>
      <c r="I977" s="1733"/>
    </row>
    <row r="978" spans="1:9" s="1623" customFormat="1" ht="15" hidden="1" customHeight="1">
      <c r="A978" s="1559"/>
      <c r="B978" s="1574"/>
      <c r="D978" s="1796"/>
      <c r="E978" s="1728"/>
      <c r="F978" s="1728"/>
      <c r="G978" s="1728"/>
      <c r="H978" s="1728"/>
      <c r="I978" s="1728"/>
    </row>
    <row r="979" spans="1:9" s="1730" customFormat="1">
      <c r="A979" s="1559"/>
      <c r="B979" s="1569"/>
      <c r="C979" s="1732"/>
      <c r="D979" s="1689"/>
      <c r="E979" s="1733"/>
      <c r="F979" s="1733"/>
      <c r="G979" s="1733"/>
      <c r="H979" s="1733"/>
      <c r="I979" s="1733"/>
    </row>
    <row r="980" spans="1:9" s="1573" customFormat="1">
      <c r="A980" s="1571"/>
      <c r="B980" s="1575"/>
      <c r="D980" s="1577"/>
      <c r="E980" s="1851"/>
      <c r="F980" s="1851"/>
      <c r="G980" s="1851"/>
      <c r="H980" s="1851"/>
      <c r="I980" s="1851"/>
    </row>
    <row r="981" spans="1:9" s="1573" customFormat="1">
      <c r="A981" s="1571"/>
      <c r="B981" s="1575"/>
      <c r="D981" s="1577"/>
      <c r="E981" s="1851"/>
      <c r="F981" s="1851"/>
      <c r="G981" s="1851"/>
      <c r="H981" s="1851"/>
      <c r="I981" s="1851"/>
    </row>
    <row r="982" spans="1:9" s="1573" customFormat="1">
      <c r="A982" s="1575"/>
      <c r="C982" s="1851"/>
    </row>
    <row r="983" spans="1:9" s="1730" customFormat="1"/>
    <row r="984" spans="1:9" s="1730" customFormat="1"/>
    <row r="985" spans="1:9" s="1730" customFormat="1"/>
    <row r="986" spans="1:9" s="1730" customFormat="1"/>
    <row r="987" spans="1:9" s="1730" customFormat="1"/>
    <row r="988" spans="1:9" s="1730" customFormat="1"/>
    <row r="989" spans="1:9"/>
    <row r="990" spans="1:9"/>
    <row r="991" spans="1:9"/>
    <row r="992" spans="1:9"/>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sheetData>
  <mergeCells count="116">
    <mergeCell ref="B443:I444"/>
    <mergeCell ref="B446:I446"/>
    <mergeCell ref="B914:I916"/>
    <mergeCell ref="B917:I919"/>
    <mergeCell ref="F817:F818"/>
    <mergeCell ref="J341:M343"/>
    <mergeCell ref="B956:I957"/>
    <mergeCell ref="G587:I587"/>
    <mergeCell ref="D903:I903"/>
    <mergeCell ref="F839:F840"/>
    <mergeCell ref="I839:I840"/>
    <mergeCell ref="B876:I877"/>
    <mergeCell ref="B881:I882"/>
    <mergeCell ref="A884:I884"/>
    <mergeCell ref="A885:I885"/>
    <mergeCell ref="A889:I889"/>
    <mergeCell ref="D891:I891"/>
    <mergeCell ref="D893:I893"/>
    <mergeCell ref="D901:I901"/>
    <mergeCell ref="B625:I627"/>
    <mergeCell ref="D836:I836"/>
    <mergeCell ref="D755:I755"/>
    <mergeCell ref="G779:I779"/>
    <mergeCell ref="G793:I793"/>
    <mergeCell ref="B805:I807"/>
    <mergeCell ref="B809:I810"/>
    <mergeCell ref="D814:I814"/>
    <mergeCell ref="B926:I928"/>
    <mergeCell ref="B930:I930"/>
    <mergeCell ref="B950:I952"/>
    <mergeCell ref="B505:I508"/>
    <mergeCell ref="I817:I818"/>
    <mergeCell ref="D831:I831"/>
    <mergeCell ref="G834:G835"/>
    <mergeCell ref="I834:I835"/>
    <mergeCell ref="D735:I735"/>
    <mergeCell ref="D751:I751"/>
    <mergeCell ref="D752:F752"/>
    <mergeCell ref="G752:I752"/>
    <mergeCell ref="D753:F753"/>
    <mergeCell ref="G753:I753"/>
    <mergeCell ref="B518:I521"/>
    <mergeCell ref="B512:I516"/>
    <mergeCell ref="B920:I922"/>
    <mergeCell ref="B932:I932"/>
    <mergeCell ref="B934:I934"/>
    <mergeCell ref="B937:I944"/>
    <mergeCell ref="J518:J521"/>
    <mergeCell ref="B523:I524"/>
    <mergeCell ref="J523:J524"/>
    <mergeCell ref="B726:I727"/>
    <mergeCell ref="D731:I731"/>
    <mergeCell ref="D732:F732"/>
    <mergeCell ref="G732:I732"/>
    <mergeCell ref="D733:F733"/>
    <mergeCell ref="G733:I733"/>
    <mergeCell ref="B723:I724"/>
    <mergeCell ref="B676:I677"/>
    <mergeCell ref="B679:I680"/>
    <mergeCell ref="B682:I684"/>
    <mergeCell ref="B688:I690"/>
    <mergeCell ref="B694:I695"/>
    <mergeCell ref="B526:I526"/>
    <mergeCell ref="B669:I672"/>
    <mergeCell ref="B703:I709"/>
    <mergeCell ref="B713:I714"/>
    <mergeCell ref="B719:I721"/>
    <mergeCell ref="N136:P136"/>
    <mergeCell ref="G135:I135"/>
    <mergeCell ref="G167:I167"/>
    <mergeCell ref="G237:I237"/>
    <mergeCell ref="B122:I124"/>
    <mergeCell ref="J114:L114"/>
    <mergeCell ref="G116:I116"/>
    <mergeCell ref="G205:I205"/>
    <mergeCell ref="B127:I130"/>
    <mergeCell ref="J15:M19"/>
    <mergeCell ref="B20:I25"/>
    <mergeCell ref="B31:I32"/>
    <mergeCell ref="B34:I35"/>
    <mergeCell ref="B78:I78"/>
    <mergeCell ref="B103:I104"/>
    <mergeCell ref="B108:I109"/>
    <mergeCell ref="B71:I71"/>
    <mergeCell ref="B73:I73"/>
    <mergeCell ref="B75:I75"/>
    <mergeCell ref="C47:I48"/>
    <mergeCell ref="C50:I52"/>
    <mergeCell ref="B60:I64"/>
    <mergeCell ref="B80:I81"/>
    <mergeCell ref="B54:I58"/>
    <mergeCell ref="B66:I69"/>
    <mergeCell ref="B8:I13"/>
    <mergeCell ref="B15:I18"/>
    <mergeCell ref="B27:I29"/>
    <mergeCell ref="B40:I42"/>
    <mergeCell ref="C44:I45"/>
    <mergeCell ref="B500:I501"/>
    <mergeCell ref="G420:I420"/>
    <mergeCell ref="B450:I455"/>
    <mergeCell ref="B479:I487"/>
    <mergeCell ref="B491:I497"/>
    <mergeCell ref="B456:I456"/>
    <mergeCell ref="G465:I465"/>
    <mergeCell ref="G406:I406"/>
    <mergeCell ref="G403:G404"/>
    <mergeCell ref="I403:I404"/>
    <mergeCell ref="B83:I86"/>
    <mergeCell ref="B90:I99"/>
    <mergeCell ref="B88:I89"/>
    <mergeCell ref="G398:I398"/>
    <mergeCell ref="F399:F400"/>
    <mergeCell ref="B378:I379"/>
    <mergeCell ref="B276:I276"/>
    <mergeCell ref="B341:I343"/>
    <mergeCell ref="B436:I441"/>
  </mergeCells>
  <printOptions horizontalCentered="1"/>
  <pageMargins left="0.75" right="0.5" top="0.7" bottom="0.4" header="0.45" footer="0.23"/>
  <pageSetup paperSize="9" scale="80" orientation="portrait" useFirstPageNumber="1" r:id="rId1"/>
  <headerFooter differentFirst="1">
    <oddHeader>&amp;C&amp;"Arial,Regular"&amp;9&amp;P</oddHeader>
  </headerFooter>
  <rowBreaks count="7" manualBreakCount="7">
    <brk id="71" max="10" man="1"/>
    <brk id="146" max="10" man="1"/>
    <brk id="242" max="10" man="1"/>
    <brk id="447" max="8" man="1"/>
    <brk id="508" max="10" man="1"/>
    <brk id="581" max="10" man="1"/>
    <brk id="673" max="10"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V137"/>
  <sheetViews>
    <sheetView showGridLines="0" view="pageBreakPreview" topLeftCell="A108" zoomScale="80" zoomScaleNormal="80" zoomScaleSheetLayoutView="80" workbookViewId="0">
      <selection activeCell="A154" sqref="A154"/>
    </sheetView>
  </sheetViews>
  <sheetFormatPr defaultColWidth="8" defaultRowHeight="12"/>
  <cols>
    <col min="1" max="1" width="5.75" style="2740" customWidth="1"/>
    <col min="2" max="2" width="33.25" style="2740" customWidth="1"/>
    <col min="3" max="3" width="2.625" style="1685" customWidth="1"/>
    <col min="4" max="4" width="13.125" style="2740" customWidth="1"/>
    <col min="5" max="5" width="11" style="2740" customWidth="1"/>
    <col min="6" max="6" width="10.75" style="2740" customWidth="1"/>
    <col min="7" max="7" width="12.75" style="2740" customWidth="1"/>
    <col min="8" max="8" width="13.875" style="2740" customWidth="1"/>
    <col min="9" max="9" width="13.5" style="2740" customWidth="1"/>
    <col min="10" max="10" width="12.5" style="2740" customWidth="1"/>
    <col min="11" max="11" width="11" style="2865" customWidth="1"/>
    <col min="12" max="12" width="10.75" style="2865" customWidth="1"/>
    <col min="13" max="13" width="1.375" style="2738" customWidth="1"/>
    <col min="14" max="14" width="17.25" style="2155" customWidth="1"/>
    <col min="15" max="15" width="16.75" style="2740" customWidth="1"/>
    <col min="16" max="16" width="14.375" style="2740" customWidth="1"/>
    <col min="17" max="17" width="9.25" style="2740" customWidth="1"/>
    <col min="18" max="16384" width="8" style="2740"/>
  </cols>
  <sheetData>
    <row r="2" spans="1:21" s="1704" customFormat="1" ht="15" customHeight="1">
      <c r="A2" s="2704"/>
      <c r="B2" s="1706"/>
      <c r="C2" s="1736"/>
      <c r="D2" s="1736"/>
      <c r="E2" s="1736"/>
      <c r="F2" s="1736"/>
      <c r="G2" s="1736"/>
      <c r="K2" s="2856"/>
      <c r="L2" s="2856"/>
      <c r="M2" s="2734"/>
      <c r="N2" s="2155"/>
    </row>
    <row r="3" spans="1:21" s="1704" customFormat="1" ht="15" customHeight="1">
      <c r="B3" s="1736"/>
      <c r="C3" s="1736"/>
      <c r="D3" s="1736"/>
      <c r="E3" s="1736"/>
      <c r="F3" s="1736"/>
      <c r="G3" s="1736"/>
      <c r="K3" s="2856"/>
      <c r="L3" s="2856"/>
      <c r="M3" s="2734"/>
      <c r="N3" s="2155"/>
    </row>
    <row r="4" spans="1:21" s="1704" customFormat="1" ht="15" customHeight="1">
      <c r="B4" s="3022" t="s">
        <v>1498</v>
      </c>
      <c r="C4" s="3023"/>
      <c r="D4" s="3042" t="s">
        <v>2489</v>
      </c>
      <c r="E4" s="3042" t="s">
        <v>1950</v>
      </c>
      <c r="F4" s="3042" t="s">
        <v>2380</v>
      </c>
      <c r="G4" s="3042" t="s">
        <v>2490</v>
      </c>
      <c r="H4" s="3036" t="s">
        <v>2490</v>
      </c>
      <c r="I4" s="3037"/>
      <c r="J4" s="3038"/>
      <c r="K4" s="3039" t="s">
        <v>1499</v>
      </c>
      <c r="L4" s="3039" t="s">
        <v>1500</v>
      </c>
      <c r="M4" s="3020"/>
      <c r="N4" s="3028" t="s">
        <v>1501</v>
      </c>
    </row>
    <row r="5" spans="1:21" s="1704" customFormat="1" ht="15" customHeight="1">
      <c r="B5" s="3024"/>
      <c r="C5" s="3025"/>
      <c r="D5" s="3043"/>
      <c r="E5" s="3043"/>
      <c r="F5" s="3043"/>
      <c r="G5" s="3043"/>
      <c r="H5" s="3029" t="s">
        <v>1502</v>
      </c>
      <c r="I5" s="3029" t="s">
        <v>866</v>
      </c>
      <c r="J5" s="3032" t="s">
        <v>1503</v>
      </c>
      <c r="K5" s="3040"/>
      <c r="L5" s="3040"/>
      <c r="M5" s="3020"/>
      <c r="N5" s="3028"/>
    </row>
    <row r="6" spans="1:21" s="1704" customFormat="1" ht="15" customHeight="1">
      <c r="B6" s="3024"/>
      <c r="C6" s="3025"/>
      <c r="D6" s="3043"/>
      <c r="E6" s="3043"/>
      <c r="F6" s="3043"/>
      <c r="G6" s="3043"/>
      <c r="H6" s="3030"/>
      <c r="I6" s="3030"/>
      <c r="J6" s="3033"/>
      <c r="K6" s="3040"/>
      <c r="L6" s="3040"/>
      <c r="M6" s="3020"/>
      <c r="N6" s="3028"/>
      <c r="Q6" s="2741" t="s">
        <v>1504</v>
      </c>
    </row>
    <row r="7" spans="1:21" s="1704" customFormat="1" ht="15" customHeight="1">
      <c r="B7" s="3024"/>
      <c r="C7" s="3025"/>
      <c r="D7" s="3043"/>
      <c r="E7" s="3043"/>
      <c r="F7" s="3043"/>
      <c r="G7" s="3043"/>
      <c r="H7" s="3030"/>
      <c r="I7" s="3030"/>
      <c r="J7" s="3033"/>
      <c r="K7" s="3040"/>
      <c r="L7" s="3040"/>
      <c r="M7" s="3020"/>
      <c r="N7" s="3028"/>
      <c r="O7" s="2705" t="s">
        <v>1505</v>
      </c>
      <c r="P7" s="1909">
        <v>675182</v>
      </c>
      <c r="Q7" s="1909">
        <v>626922</v>
      </c>
      <c r="R7" s="1909"/>
      <c r="S7" s="1909"/>
      <c r="T7" s="1909"/>
      <c r="U7" s="1909"/>
    </row>
    <row r="8" spans="1:21" s="1704" customFormat="1" ht="15" customHeight="1">
      <c r="B8" s="3024"/>
      <c r="C8" s="3025"/>
      <c r="D8" s="3043"/>
      <c r="E8" s="3043"/>
      <c r="F8" s="3043"/>
      <c r="G8" s="3043"/>
      <c r="H8" s="3030"/>
      <c r="I8" s="3030"/>
      <c r="J8" s="3033"/>
      <c r="K8" s="3040"/>
      <c r="L8" s="3040"/>
      <c r="M8" s="3020"/>
      <c r="N8" s="3028"/>
      <c r="O8" s="2706" t="s">
        <v>1506</v>
      </c>
      <c r="P8" s="1908">
        <v>468729</v>
      </c>
      <c r="Q8" s="1908">
        <v>566333</v>
      </c>
      <c r="R8" s="1908"/>
      <c r="S8" s="1908"/>
      <c r="T8" s="1908"/>
      <c r="U8" s="1908"/>
    </row>
    <row r="9" spans="1:21" s="1704" customFormat="1" ht="15" customHeight="1">
      <c r="B9" s="3024"/>
      <c r="C9" s="3025"/>
      <c r="D9" s="3043"/>
      <c r="E9" s="3043"/>
      <c r="F9" s="3043"/>
      <c r="G9" s="3043"/>
      <c r="H9" s="3030"/>
      <c r="I9" s="3030"/>
      <c r="J9" s="3033"/>
      <c r="K9" s="3040"/>
      <c r="L9" s="3040"/>
      <c r="M9" s="3020"/>
      <c r="N9" s="3028"/>
    </row>
    <row r="10" spans="1:21" s="1704" customFormat="1" ht="15" customHeight="1">
      <c r="B10" s="3024"/>
      <c r="C10" s="3025"/>
      <c r="D10" s="3043"/>
      <c r="E10" s="3043"/>
      <c r="F10" s="3043"/>
      <c r="G10" s="3043"/>
      <c r="H10" s="3030"/>
      <c r="I10" s="3030"/>
      <c r="J10" s="3033"/>
      <c r="K10" s="3040"/>
      <c r="L10" s="3040"/>
      <c r="M10" s="3020"/>
      <c r="N10" s="2155"/>
    </row>
    <row r="11" spans="1:21" s="1704" customFormat="1" ht="15" customHeight="1">
      <c r="B11" s="3026"/>
      <c r="C11" s="3027"/>
      <c r="D11" s="3044"/>
      <c r="E11" s="3044"/>
      <c r="F11" s="3044"/>
      <c r="G11" s="3044"/>
      <c r="H11" s="3031"/>
      <c r="I11" s="3031"/>
      <c r="J11" s="3034"/>
      <c r="K11" s="3041"/>
      <c r="L11" s="3041"/>
      <c r="M11" s="3020"/>
      <c r="N11" s="2155"/>
    </row>
    <row r="12" spans="1:21" s="1704" customFormat="1" ht="21" customHeight="1">
      <c r="B12" s="2743"/>
      <c r="C12" s="2743"/>
      <c r="D12" s="3035" t="s">
        <v>1507</v>
      </c>
      <c r="E12" s="3035"/>
      <c r="F12" s="3035"/>
      <c r="G12" s="3035"/>
      <c r="H12" s="3035" t="s">
        <v>1508</v>
      </c>
      <c r="I12" s="3035"/>
      <c r="J12" s="3035"/>
      <c r="K12" s="3021" t="s">
        <v>1509</v>
      </c>
      <c r="L12" s="3021"/>
      <c r="M12" s="2739"/>
      <c r="N12" s="2155"/>
      <c r="T12" s="1704">
        <v>3.5</v>
      </c>
      <c r="U12" s="1704">
        <f>ROUND(T12,2)</f>
        <v>3.5</v>
      </c>
    </row>
    <row r="13" spans="1:21" s="1704" customFormat="1" ht="4.5" customHeight="1">
      <c r="B13" s="2743"/>
      <c r="C13" s="2743"/>
      <c r="D13" s="2707"/>
      <c r="E13" s="2708"/>
      <c r="F13" s="2709"/>
      <c r="G13" s="2708"/>
      <c r="H13" s="2710"/>
      <c r="I13" s="2709"/>
      <c r="J13" s="2709"/>
      <c r="K13" s="2857"/>
      <c r="L13" s="2858"/>
      <c r="M13" s="2742"/>
      <c r="N13" s="2155"/>
      <c r="T13" s="1704">
        <v>0</v>
      </c>
      <c r="U13" s="1704">
        <f>ROUND(T13,2)</f>
        <v>0</v>
      </c>
    </row>
    <row r="14" spans="1:21" s="1704" customFormat="1" ht="15" customHeight="1">
      <c r="B14" s="1706" t="s">
        <v>1523</v>
      </c>
      <c r="C14" s="1736"/>
      <c r="D14" s="1736"/>
      <c r="E14" s="1736"/>
      <c r="F14" s="1736"/>
      <c r="G14" s="1736"/>
      <c r="K14" s="2856"/>
      <c r="L14" s="2856"/>
      <c r="M14" s="2735"/>
      <c r="N14" s="2155"/>
      <c r="T14" s="1704">
        <v>2.27</v>
      </c>
      <c r="U14" s="1704">
        <f>ROUND(T14,2)</f>
        <v>2.27</v>
      </c>
    </row>
    <row r="15" spans="1:21" s="1704" customFormat="1" ht="15.75" customHeight="1">
      <c r="B15" s="2711"/>
      <c r="C15" s="1736"/>
      <c r="D15" s="1736"/>
      <c r="E15" s="1736"/>
      <c r="F15" s="1736"/>
      <c r="G15" s="1736"/>
      <c r="K15" s="2856"/>
      <c r="L15" s="2856"/>
      <c r="M15" s="2735"/>
      <c r="N15" s="2155"/>
      <c r="T15" s="1704">
        <v>5.8140000000000001</v>
      </c>
      <c r="U15" s="1704">
        <f>ROUND(T15,2)</f>
        <v>5.81</v>
      </c>
    </row>
    <row r="16" spans="1:21" s="1704" customFormat="1">
      <c r="B16" s="2724" t="s">
        <v>2356</v>
      </c>
      <c r="C16" s="2725"/>
      <c r="D16" s="1728"/>
      <c r="E16" s="1728"/>
      <c r="F16" s="1728"/>
      <c r="G16" s="1728"/>
      <c r="H16" s="1627"/>
      <c r="I16" s="1623"/>
      <c r="J16" s="1623"/>
      <c r="K16" s="2859"/>
      <c r="L16" s="2859"/>
      <c r="M16" s="2736"/>
      <c r="N16" s="2155"/>
      <c r="O16" s="1789"/>
      <c r="P16" s="1789"/>
      <c r="T16" s="1704">
        <v>2.0870000000000002</v>
      </c>
      <c r="U16" s="1704">
        <f>ROUND(T16,2)</f>
        <v>2.09</v>
      </c>
    </row>
    <row r="17" spans="2:21" s="1704" customFormat="1">
      <c r="B17" s="2723" t="s">
        <v>2357</v>
      </c>
      <c r="C17" s="2725"/>
      <c r="D17" s="1728">
        <v>1000</v>
      </c>
      <c r="E17" s="1851">
        <v>53500</v>
      </c>
      <c r="F17" s="1851">
        <v>10000</v>
      </c>
      <c r="G17" s="1851">
        <f>D17+E17-F17</f>
        <v>44500</v>
      </c>
      <c r="H17" s="2720">
        <v>12420.911</v>
      </c>
      <c r="I17" s="2720">
        <v>11905.975</v>
      </c>
      <c r="J17" s="1851">
        <f>I17-H17</f>
        <v>-514.93599999999969</v>
      </c>
      <c r="K17" s="2851">
        <f>I17/BS!$F$30</f>
        <v>1.2779354419061952E-2</v>
      </c>
      <c r="L17" s="2851">
        <f>I17/'1-4.1'!$G$144</f>
        <v>2.2239910287607478E-2</v>
      </c>
      <c r="M17" s="2736"/>
      <c r="N17" s="2155"/>
      <c r="O17" s="1789"/>
      <c r="P17" s="1789"/>
    </row>
    <row r="18" spans="2:21" s="1704" customFormat="1">
      <c r="B18" s="2723" t="s">
        <v>2496</v>
      </c>
      <c r="C18" s="2725"/>
      <c r="D18" s="1728">
        <v>5500</v>
      </c>
      <c r="E18" s="1851">
        <v>24500</v>
      </c>
      <c r="F18" s="1851">
        <v>28500</v>
      </c>
      <c r="G18" s="1851">
        <f>D18+E18-F18</f>
        <v>1500</v>
      </c>
      <c r="H18" s="2720">
        <v>241.20099999999999</v>
      </c>
      <c r="I18" s="2720">
        <v>197.20500000000001</v>
      </c>
      <c r="J18" s="1851">
        <f>I18-H18</f>
        <v>-43.995999999999981</v>
      </c>
      <c r="K18" s="2851">
        <f>I18/BS!$F$30</f>
        <v>2.1167124810955105E-4</v>
      </c>
      <c r="L18" s="2851">
        <f>I18/'1-4.1'!$G$144</f>
        <v>3.6837146964172464E-4</v>
      </c>
      <c r="M18" s="2736"/>
      <c r="N18" s="2155"/>
      <c r="O18" s="1789"/>
      <c r="P18" s="1789"/>
    </row>
    <row r="19" spans="2:21" s="1704" customFormat="1" ht="5.25" customHeight="1">
      <c r="B19" s="2723"/>
      <c r="C19" s="2725"/>
      <c r="D19" s="1728"/>
      <c r="E19" s="1851"/>
      <c r="F19" s="1851"/>
      <c r="G19" s="1851"/>
      <c r="H19" s="2720"/>
      <c r="I19" s="2720"/>
      <c r="J19" s="1851"/>
      <c r="K19" s="2851"/>
      <c r="L19" s="2851"/>
      <c r="M19" s="2736"/>
      <c r="N19" s="2155"/>
      <c r="O19" s="1789"/>
      <c r="P19" s="1789"/>
    </row>
    <row r="20" spans="2:21" s="1704" customFormat="1" ht="12.75" thickBot="1">
      <c r="B20" s="2723"/>
      <c r="C20" s="2725"/>
      <c r="D20" s="1728"/>
      <c r="E20" s="1851"/>
      <c r="F20" s="1851"/>
      <c r="G20" s="1851"/>
      <c r="H20" s="2468">
        <f>SUM(H17:H19)</f>
        <v>12662.111999999999</v>
      </c>
      <c r="I20" s="2468">
        <f>SUM(I17:I19)</f>
        <v>12103.18</v>
      </c>
      <c r="J20" s="2468">
        <f>SUM(J17:J19)</f>
        <v>-558.93199999999968</v>
      </c>
      <c r="K20" s="2852">
        <f>SUM(K17:K19)</f>
        <v>1.2991025667171502E-2</v>
      </c>
      <c r="L20" s="2852">
        <f>SUM(L17:L19)</f>
        <v>2.2608281757249202E-2</v>
      </c>
      <c r="M20" s="2736"/>
      <c r="N20" s="2155"/>
      <c r="O20" s="1789"/>
      <c r="P20" s="1789"/>
    </row>
    <row r="21" spans="2:21" s="1704" customFormat="1" ht="12.75" thickTop="1">
      <c r="B21" s="2727" t="s">
        <v>2358</v>
      </c>
      <c r="C21" s="2725"/>
      <c r="D21" s="1728"/>
      <c r="E21" s="1728"/>
      <c r="F21" s="1728"/>
      <c r="G21" s="1728"/>
      <c r="H21" s="1728"/>
      <c r="I21" s="1728"/>
      <c r="J21" s="1623"/>
      <c r="K21" s="2859"/>
      <c r="L21" s="2859"/>
      <c r="M21" s="2736"/>
      <c r="N21" s="2155"/>
      <c r="O21" s="1789"/>
      <c r="P21" s="1789"/>
    </row>
    <row r="22" spans="2:21" s="1704" customFormat="1">
      <c r="B22" s="2726" t="s">
        <v>1447</v>
      </c>
      <c r="C22" s="2725"/>
      <c r="D22" s="1728">
        <v>263500</v>
      </c>
      <c r="E22" s="1728">
        <v>985000</v>
      </c>
      <c r="F22" s="1728">
        <v>701500</v>
      </c>
      <c r="G22" s="1851">
        <f>D22+E22-F22</f>
        <v>547000</v>
      </c>
      <c r="H22" s="1728">
        <v>16028.576999999999</v>
      </c>
      <c r="I22" s="1728">
        <v>15069.85</v>
      </c>
      <c r="J22" s="1851">
        <f>I22-H22</f>
        <v>-958.72699999999895</v>
      </c>
      <c r="K22" s="2851">
        <f>I22/BS!$F$30</f>
        <v>1.6175319887039973E-2</v>
      </c>
      <c r="L22" s="2851">
        <f>I22/'1-4.1'!$G$144</f>
        <v>2.8149908936286321E-2</v>
      </c>
      <c r="M22" s="2736"/>
      <c r="N22" s="2818">
        <f t="shared" ref="N22:P23" si="0">H22/1000</f>
        <v>16.028576999999999</v>
      </c>
      <c r="O22" s="2818">
        <f t="shared" si="0"/>
        <v>15.069850000000001</v>
      </c>
      <c r="P22" s="2818">
        <f t="shared" si="0"/>
        <v>-0.958726999999999</v>
      </c>
    </row>
    <row r="23" spans="2:21" s="1704" customFormat="1">
      <c r="B23" s="2726" t="s">
        <v>2497</v>
      </c>
      <c r="C23" s="2725"/>
      <c r="D23" s="1728">
        <v>0</v>
      </c>
      <c r="E23" s="1728">
        <v>452500</v>
      </c>
      <c r="F23" s="1728">
        <v>356500</v>
      </c>
      <c r="G23" s="1851">
        <f>D23+E23-F23</f>
        <v>96000</v>
      </c>
      <c r="H23" s="1728">
        <v>2226.451</v>
      </c>
      <c r="I23" s="1728">
        <v>1812.48</v>
      </c>
      <c r="J23" s="1851">
        <f>I23-H23</f>
        <v>-413.971</v>
      </c>
      <c r="K23" s="2851">
        <f>I23/BS!$F$30</f>
        <v>1.9454370009563606E-3</v>
      </c>
      <c r="L23" s="2851">
        <f>I23/'1-4.1'!$G$144</f>
        <v>3.3856439811172792E-3</v>
      </c>
      <c r="M23" s="2736"/>
      <c r="N23" s="2818">
        <f t="shared" si="0"/>
        <v>2.226451</v>
      </c>
      <c r="O23" s="2818">
        <f t="shared" si="0"/>
        <v>1.8124800000000001</v>
      </c>
      <c r="P23" s="2818">
        <f t="shared" si="0"/>
        <v>-0.41397099999999998</v>
      </c>
    </row>
    <row r="24" spans="2:21" s="1704" customFormat="1" ht="6" customHeight="1">
      <c r="B24" s="2726"/>
      <c r="C24" s="2725"/>
      <c r="D24" s="1728"/>
      <c r="E24" s="1728"/>
      <c r="F24" s="1728"/>
      <c r="G24" s="1851"/>
      <c r="H24" s="1728"/>
      <c r="I24" s="1728"/>
      <c r="J24" s="1851"/>
      <c r="K24" s="2851"/>
      <c r="L24" s="2851"/>
      <c r="M24" s="2736"/>
      <c r="N24" s="2155"/>
      <c r="O24" s="1789"/>
      <c r="P24" s="1789"/>
    </row>
    <row r="25" spans="2:21" s="1704" customFormat="1" ht="12.75" thickBot="1">
      <c r="B25" s="2726"/>
      <c r="C25" s="2725"/>
      <c r="D25" s="1728"/>
      <c r="E25" s="1728"/>
      <c r="F25" s="1728"/>
      <c r="G25" s="1851"/>
      <c r="H25" s="2468">
        <f>SUM(H22:H24)</f>
        <v>18255.027999999998</v>
      </c>
      <c r="I25" s="2468">
        <f>SUM(I22:I24)</f>
        <v>16882.330000000002</v>
      </c>
      <c r="J25" s="2468">
        <f>SUM(J22:J24)</f>
        <v>-1372.697999999999</v>
      </c>
      <c r="K25" s="2852">
        <f>K22</f>
        <v>1.6175319887039973E-2</v>
      </c>
      <c r="L25" s="2852">
        <f>L22</f>
        <v>2.8149908936286321E-2</v>
      </c>
      <c r="M25" s="2736"/>
      <c r="N25" s="2155"/>
      <c r="O25" s="1789"/>
      <c r="P25" s="1789"/>
    </row>
    <row r="26" spans="2:21" s="1704" customFormat="1" ht="6" customHeight="1" thickTop="1">
      <c r="B26" s="1573"/>
      <c r="C26" s="2725"/>
      <c r="D26" s="1728"/>
      <c r="E26" s="1728"/>
      <c r="F26" s="1728"/>
      <c r="G26" s="1728"/>
      <c r="H26" s="1728"/>
      <c r="I26" s="1728"/>
      <c r="J26" s="1623"/>
      <c r="K26" s="2859"/>
      <c r="L26" s="2859"/>
      <c r="M26" s="2736"/>
      <c r="N26" s="2155"/>
      <c r="O26" s="1789"/>
      <c r="P26" s="1789"/>
    </row>
    <row r="27" spans="2:21" s="1704" customFormat="1">
      <c r="B27" s="2724" t="s">
        <v>2359</v>
      </c>
      <c r="C27" s="2725"/>
      <c r="D27" s="1728"/>
      <c r="E27" s="1728"/>
      <c r="F27" s="1728"/>
      <c r="G27" s="1728"/>
      <c r="H27" s="1627"/>
      <c r="I27" s="1623"/>
      <c r="J27" s="1623"/>
      <c r="K27" s="2859"/>
      <c r="L27" s="2859"/>
      <c r="M27" s="2736"/>
      <c r="N27" s="2155">
        <f>37500+136500-126500</f>
        <v>47500</v>
      </c>
      <c r="O27" s="1789"/>
      <c r="P27" s="1789"/>
    </row>
    <row r="28" spans="2:21" s="1704" customFormat="1">
      <c r="B28" s="2723" t="s">
        <v>1676</v>
      </c>
      <c r="C28" s="2725"/>
      <c r="D28" s="1728">
        <v>37500</v>
      </c>
      <c r="E28" s="2720">
        <v>136500</v>
      </c>
      <c r="F28" s="2720">
        <v>164000</v>
      </c>
      <c r="G28" s="1851">
        <f t="shared" ref="G28:G33" si="1">D28+E28-F28</f>
        <v>10000</v>
      </c>
      <c r="H28" s="2720">
        <v>1087.502</v>
      </c>
      <c r="I28" s="2720">
        <v>884.2</v>
      </c>
      <c r="J28" s="1851">
        <f t="shared" ref="J28:J33" si="2">I28-H28</f>
        <v>-203.30199999999991</v>
      </c>
      <c r="K28" s="2851">
        <f>I28/BS!$F$30</f>
        <v>9.4906172550627546E-4</v>
      </c>
      <c r="L28" s="2851">
        <f>I28/'1-4.1'!$G$144</f>
        <v>1.6516521054598663E-3</v>
      </c>
      <c r="M28" s="2736"/>
      <c r="N28" s="2818">
        <f t="shared" ref="N28:N33" si="3">H28/1000</f>
        <v>1.087502</v>
      </c>
      <c r="O28" s="2818">
        <f t="shared" ref="O28:O33" si="4">I28/1000</f>
        <v>0.8842000000000001</v>
      </c>
      <c r="P28" s="2818">
        <f t="shared" ref="P28:P33" si="5">J28/1000</f>
        <v>-0.2033019999999999</v>
      </c>
    </row>
    <row r="29" spans="2:21" s="1704" customFormat="1">
      <c r="B29" s="2723" t="s">
        <v>1510</v>
      </c>
      <c r="C29" s="2725"/>
      <c r="D29" s="1728">
        <v>35500</v>
      </c>
      <c r="E29" s="2720">
        <v>79500</v>
      </c>
      <c r="F29" s="2720">
        <v>75000</v>
      </c>
      <c r="G29" s="1851">
        <f t="shared" si="1"/>
        <v>40000</v>
      </c>
      <c r="H29" s="2720">
        <v>721.13199999999995</v>
      </c>
      <c r="I29" s="2720">
        <v>718</v>
      </c>
      <c r="J29" s="1851">
        <f t="shared" si="2"/>
        <v>-3.1319999999999482</v>
      </c>
      <c r="K29" s="2851">
        <f>I29/BS!$F$30</f>
        <v>7.7066989246042271E-4</v>
      </c>
      <c r="L29" s="2851">
        <f>I29/'1-4.1'!$G$144</f>
        <v>1.3411968013121284E-3</v>
      </c>
      <c r="M29" s="2736"/>
      <c r="N29" s="2818">
        <f t="shared" si="3"/>
        <v>0.721132</v>
      </c>
      <c r="O29" s="2818">
        <f t="shared" si="4"/>
        <v>0.71799999999999997</v>
      </c>
      <c r="P29" s="2818">
        <f t="shared" si="5"/>
        <v>-3.1319999999999482E-3</v>
      </c>
    </row>
    <row r="30" spans="2:21" s="1704" customFormat="1">
      <c r="B30" s="2723" t="s">
        <v>1583</v>
      </c>
      <c r="C30" s="2725"/>
      <c r="D30" s="1728">
        <v>0</v>
      </c>
      <c r="E30" s="2720">
        <v>23500</v>
      </c>
      <c r="F30" s="2720">
        <v>2500</v>
      </c>
      <c r="G30" s="1851">
        <f t="shared" si="1"/>
        <v>21000</v>
      </c>
      <c r="H30" s="2720">
        <v>15284.275</v>
      </c>
      <c r="I30" s="2720">
        <v>15180.9</v>
      </c>
      <c r="J30" s="1851">
        <f t="shared" si="2"/>
        <v>-103.375</v>
      </c>
      <c r="K30" s="2851">
        <f>I30/BS!$F$30</f>
        <v>1.6294516114836254E-2</v>
      </c>
      <c r="L30" s="2851">
        <f>I30/'1-4.1'!$G$144</f>
        <v>2.8357346129581181E-2</v>
      </c>
      <c r="M30" s="2736"/>
      <c r="N30" s="2818">
        <f t="shared" si="3"/>
        <v>15.284274999999999</v>
      </c>
      <c r="O30" s="2818">
        <f t="shared" si="4"/>
        <v>15.180899999999999</v>
      </c>
      <c r="P30" s="2818">
        <f t="shared" si="5"/>
        <v>-0.10337499999999999</v>
      </c>
    </row>
    <row r="31" spans="2:21" s="1704" customFormat="1">
      <c r="B31" s="2723" t="s">
        <v>1512</v>
      </c>
      <c r="C31" s="2725"/>
      <c r="D31" s="1728">
        <v>127500</v>
      </c>
      <c r="E31" s="2720">
        <v>257000</v>
      </c>
      <c r="F31" s="2720">
        <v>314000</v>
      </c>
      <c r="G31" s="1851">
        <f t="shared" si="1"/>
        <v>70500</v>
      </c>
      <c r="H31" s="2720">
        <v>2549.4630000000002</v>
      </c>
      <c r="I31" s="2720">
        <v>2481.6</v>
      </c>
      <c r="J31" s="1851">
        <f t="shared" si="2"/>
        <v>-67.863000000000284</v>
      </c>
      <c r="K31" s="2851">
        <f>I31/BS!$F$30</f>
        <v>2.6636412327712879E-3</v>
      </c>
      <c r="L31" s="2851">
        <f>I31/'1-4.1'!$G$144</f>
        <v>4.6355347940615285E-3</v>
      </c>
      <c r="M31" s="2736"/>
      <c r="N31" s="2818">
        <f t="shared" si="3"/>
        <v>2.5494630000000003</v>
      </c>
      <c r="O31" s="2818">
        <f t="shared" si="4"/>
        <v>2.4815999999999998</v>
      </c>
      <c r="P31" s="2818">
        <f t="shared" si="5"/>
        <v>-6.7863000000000284E-2</v>
      </c>
    </row>
    <row r="32" spans="2:21" s="1704" customFormat="1">
      <c r="B32" s="2723" t="s">
        <v>1513</v>
      </c>
      <c r="C32" s="2725"/>
      <c r="D32" s="1728">
        <v>25500</v>
      </c>
      <c r="E32" s="2720">
        <v>50000</v>
      </c>
      <c r="F32" s="2720">
        <v>67000</v>
      </c>
      <c r="G32" s="1851">
        <f t="shared" si="1"/>
        <v>8500</v>
      </c>
      <c r="H32" s="2720">
        <v>924.13400000000001</v>
      </c>
      <c r="I32" s="2720">
        <v>750.63499999999999</v>
      </c>
      <c r="J32" s="1851">
        <f t="shared" si="2"/>
        <v>-173.49900000000002</v>
      </c>
      <c r="K32" s="2851">
        <f>I32/BS!$F$30</f>
        <v>8.0569887844990167E-4</v>
      </c>
      <c r="L32" s="2851">
        <f>I32/'1-4.1'!$G$144</f>
        <v>1.4021577450597904E-3</v>
      </c>
      <c r="M32" s="2736"/>
      <c r="N32" s="2818">
        <f t="shared" si="3"/>
        <v>0.92413400000000001</v>
      </c>
      <c r="O32" s="2818">
        <f t="shared" si="4"/>
        <v>0.75063499999999994</v>
      </c>
      <c r="P32" s="2818">
        <f t="shared" si="5"/>
        <v>-0.17349900000000001</v>
      </c>
      <c r="T32" s="1704">
        <v>0.437</v>
      </c>
      <c r="U32" s="1704">
        <f>ROUND(T32,2)</f>
        <v>0.44</v>
      </c>
    </row>
    <row r="33" spans="2:21" s="1704" customFormat="1">
      <c r="B33" s="2723" t="s">
        <v>2498</v>
      </c>
      <c r="C33" s="2725"/>
      <c r="D33" s="1728">
        <v>0</v>
      </c>
      <c r="E33" s="2720">
        <v>206000</v>
      </c>
      <c r="F33" s="2720">
        <v>128000</v>
      </c>
      <c r="G33" s="1851">
        <f t="shared" si="1"/>
        <v>78000</v>
      </c>
      <c r="H33" s="2720">
        <v>565.82000000000005</v>
      </c>
      <c r="I33" s="2720">
        <v>547.55999999999995</v>
      </c>
      <c r="J33" s="1851">
        <f t="shared" si="2"/>
        <v>-18.260000000000105</v>
      </c>
      <c r="K33" s="2851">
        <f>I33/BS!$F$30</f>
        <v>5.8772702829474786E-4</v>
      </c>
      <c r="L33" s="2851">
        <f>I33/'1-4.1'!$G$144</f>
        <v>1.0228213377805975E-3</v>
      </c>
      <c r="M33" s="2736"/>
      <c r="N33" s="2818">
        <f t="shared" si="3"/>
        <v>0.5658200000000001</v>
      </c>
      <c r="O33" s="2818">
        <f t="shared" si="4"/>
        <v>0.54755999999999994</v>
      </c>
      <c r="P33" s="2818">
        <f t="shared" si="5"/>
        <v>-1.8260000000000106E-2</v>
      </c>
      <c r="T33" s="1704">
        <v>0</v>
      </c>
      <c r="U33" s="1704">
        <f>ROUND(T33,2)</f>
        <v>0</v>
      </c>
    </row>
    <row r="34" spans="2:21" s="1704" customFormat="1" ht="6" customHeight="1">
      <c r="B34" s="2723"/>
      <c r="C34" s="2725"/>
      <c r="D34" s="1728"/>
      <c r="E34" s="2720"/>
      <c r="F34" s="2720"/>
      <c r="G34" s="1851"/>
      <c r="H34" s="2720"/>
      <c r="I34" s="2720"/>
      <c r="J34" s="1851"/>
      <c r="K34" s="2851"/>
      <c r="L34" s="2851"/>
      <c r="M34" s="2736"/>
      <c r="N34" s="2155"/>
      <c r="O34" s="2713"/>
      <c r="P34" s="1789"/>
    </row>
    <row r="35" spans="2:21" s="1704" customFormat="1" ht="12.75" thickBot="1">
      <c r="B35" s="2726"/>
      <c r="C35" s="2725"/>
      <c r="D35" s="1728"/>
      <c r="E35" s="1728"/>
      <c r="F35" s="1728"/>
      <c r="G35" s="1728"/>
      <c r="H35" s="2468">
        <f>SUM(H28:H33)</f>
        <v>21132.326000000001</v>
      </c>
      <c r="I35" s="2468">
        <f>SUM(I28:I33)</f>
        <v>20562.894999999997</v>
      </c>
      <c r="J35" s="2468">
        <f>SUM(J28:J33)</f>
        <v>-569.43100000000027</v>
      </c>
      <c r="K35" s="2852">
        <f>SUM(K28:K33)</f>
        <v>2.2071314872318885E-2</v>
      </c>
      <c r="L35" s="2852">
        <f>SUM(L28:L33)</f>
        <v>3.8410708913255091E-2</v>
      </c>
      <c r="M35" s="2736"/>
      <c r="N35" s="2155"/>
      <c r="O35" s="2713"/>
      <c r="P35" s="1789"/>
    </row>
    <row r="36" spans="2:21" s="1704" customFormat="1" ht="5.25" customHeight="1" thickTop="1">
      <c r="B36" s="2726"/>
      <c r="C36" s="2725"/>
      <c r="D36" s="1728"/>
      <c r="E36" s="1728"/>
      <c r="F36" s="1728"/>
      <c r="G36" s="1728"/>
      <c r="H36" s="1627"/>
      <c r="I36" s="1623"/>
      <c r="J36" s="2712"/>
      <c r="K36" s="2860"/>
      <c r="L36" s="2860"/>
      <c r="M36" s="2736"/>
      <c r="N36" s="2155"/>
      <c r="O36" s="2713"/>
      <c r="P36" s="1789"/>
    </row>
    <row r="37" spans="2:21" s="1704" customFormat="1">
      <c r="B37" s="2727" t="s">
        <v>2360</v>
      </c>
      <c r="C37" s="2725"/>
      <c r="D37" s="1728"/>
      <c r="E37" s="1728"/>
      <c r="F37" s="1728"/>
      <c r="G37" s="1728"/>
      <c r="H37" s="1728"/>
      <c r="I37" s="1728"/>
      <c r="J37" s="2712"/>
      <c r="K37" s="2860"/>
      <c r="L37" s="2860"/>
      <c r="M37" s="2736"/>
      <c r="N37" s="2155"/>
      <c r="O37" s="2713"/>
      <c r="P37" s="1789"/>
      <c r="T37" s="1704">
        <v>0</v>
      </c>
      <c r="U37" s="1704">
        <f>ROUND(T37,2)</f>
        <v>0</v>
      </c>
    </row>
    <row r="38" spans="2:21" s="1704" customFormat="1">
      <c r="B38" s="2728" t="s">
        <v>2361</v>
      </c>
      <c r="C38" s="2725"/>
      <c r="D38" s="1728">
        <v>34500</v>
      </c>
      <c r="E38" s="1728">
        <v>389000</v>
      </c>
      <c r="F38" s="1728">
        <v>417500</v>
      </c>
      <c r="G38" s="1851">
        <f>D38+E38-F38</f>
        <v>6000</v>
      </c>
      <c r="H38" s="1728">
        <v>382.75</v>
      </c>
      <c r="I38" s="1728">
        <v>330.42</v>
      </c>
      <c r="J38" s="1851">
        <f>I38-H38</f>
        <v>-52.329999999999984</v>
      </c>
      <c r="K38" s="2851">
        <f>I38/BS!$F$30</f>
        <v>3.5465842042726027E-4</v>
      </c>
      <c r="L38" s="2851">
        <f>I38/'1-4.1'!$G$144</f>
        <v>6.172120433002138E-4</v>
      </c>
      <c r="M38" s="2736"/>
      <c r="N38" s="2818">
        <f t="shared" ref="N38:P40" si="6">H38/1000</f>
        <v>0.38274999999999998</v>
      </c>
      <c r="O38" s="2818">
        <f t="shared" si="6"/>
        <v>0.33041999999999999</v>
      </c>
      <c r="P38" s="2818">
        <f t="shared" si="6"/>
        <v>-5.2329999999999981E-2</v>
      </c>
    </row>
    <row r="39" spans="2:21" s="1704" customFormat="1">
      <c r="B39" s="2728" t="s">
        <v>2499</v>
      </c>
      <c r="C39" s="2725"/>
      <c r="D39" s="1728">
        <v>650000</v>
      </c>
      <c r="E39" s="1728">
        <v>201000</v>
      </c>
      <c r="F39" s="1728">
        <v>803500</v>
      </c>
      <c r="G39" s="1851">
        <f>D39+E39-F39</f>
        <v>47500</v>
      </c>
      <c r="H39" s="1728">
        <v>2159.3029999999999</v>
      </c>
      <c r="I39" s="1728">
        <v>1687.2</v>
      </c>
      <c r="J39" s="1851">
        <f>I39-H39</f>
        <v>-472.10299999999984</v>
      </c>
      <c r="K39" s="2851">
        <f>I39/BS!$F$30</f>
        <v>1.8109669116423749E-3</v>
      </c>
      <c r="L39" s="2851">
        <f>I39/'1-4.1'!$G$144</f>
        <v>3.1516256868716198E-3</v>
      </c>
      <c r="M39" s="2736"/>
      <c r="N39" s="2818">
        <f t="shared" si="6"/>
        <v>2.159303</v>
      </c>
      <c r="O39" s="2818">
        <f t="shared" si="6"/>
        <v>1.6872</v>
      </c>
      <c r="P39" s="2818">
        <f t="shared" si="6"/>
        <v>-0.47210299999999983</v>
      </c>
      <c r="T39" s="1704">
        <v>0</v>
      </c>
      <c r="U39" s="1704">
        <f>ROUND(T39,2)</f>
        <v>0</v>
      </c>
    </row>
    <row r="40" spans="2:21" s="1704" customFormat="1">
      <c r="B40" s="2728" t="s">
        <v>1586</v>
      </c>
      <c r="C40" s="2725"/>
      <c r="D40" s="1728">
        <v>178000</v>
      </c>
      <c r="E40" s="1728">
        <v>830500</v>
      </c>
      <c r="F40" s="1728">
        <v>234500</v>
      </c>
      <c r="G40" s="1851">
        <f>D40+E40-F40</f>
        <v>774000</v>
      </c>
      <c r="H40" s="1728">
        <v>10674.311</v>
      </c>
      <c r="I40" s="1728">
        <v>10828.26</v>
      </c>
      <c r="J40" s="1851">
        <f>I40-H40</f>
        <v>153.94900000000052</v>
      </c>
      <c r="K40" s="2851">
        <f>I40/BS!$F$30</f>
        <v>1.1622582130548046E-2</v>
      </c>
      <c r="L40" s="2851">
        <f>I40/'1-4.1'!$G$144</f>
        <v>2.0226779492724327E-2</v>
      </c>
      <c r="M40" s="2736"/>
      <c r="N40" s="2818">
        <f t="shared" si="6"/>
        <v>10.674310999999999</v>
      </c>
      <c r="O40" s="2818">
        <f t="shared" si="6"/>
        <v>10.82826</v>
      </c>
      <c r="P40" s="2818">
        <f t="shared" si="6"/>
        <v>0.15394900000000053</v>
      </c>
    </row>
    <row r="41" spans="2:21" s="1704" customFormat="1" ht="5.25" customHeight="1">
      <c r="B41" s="2728"/>
      <c r="C41" s="2725"/>
      <c r="D41" s="1728"/>
      <c r="E41" s="1728"/>
      <c r="F41" s="1728"/>
      <c r="G41" s="1851"/>
      <c r="H41" s="1728"/>
      <c r="I41" s="1728"/>
      <c r="J41" s="2712"/>
      <c r="K41" s="2851"/>
      <c r="L41" s="2851"/>
      <c r="M41" s="2736"/>
      <c r="N41" s="2155"/>
      <c r="O41" s="1789"/>
      <c r="P41" s="1789"/>
    </row>
    <row r="42" spans="2:21" s="1704" customFormat="1" ht="12.75" thickBot="1">
      <c r="B42" s="2728"/>
      <c r="C42" s="2725"/>
      <c r="D42" s="1728"/>
      <c r="E42" s="1728"/>
      <c r="F42" s="1728"/>
      <c r="G42" s="1851"/>
      <c r="H42" s="2468">
        <f>SUM(H38:H41)</f>
        <v>13216.364</v>
      </c>
      <c r="I42" s="2468">
        <f>SUM(I38:I41)</f>
        <v>12845.880000000001</v>
      </c>
      <c r="J42" s="2468">
        <f>SUM(J38:J41)</f>
        <v>-370.48399999999924</v>
      </c>
      <c r="K42" s="2852">
        <f>SUM(K38:K40)</f>
        <v>1.3788207462617681E-2</v>
      </c>
      <c r="L42" s="2852">
        <f>SUM(L38:L40)</f>
        <v>2.399561722289616E-2</v>
      </c>
      <c r="M42" s="2736"/>
      <c r="N42" s="2155"/>
      <c r="O42" s="1789"/>
      <c r="P42" s="1789"/>
    </row>
    <row r="43" spans="2:21" s="1704" customFormat="1" ht="6.75" customHeight="1" thickTop="1">
      <c r="B43" s="2726"/>
      <c r="C43" s="2725"/>
      <c r="D43" s="1728"/>
      <c r="E43" s="1728"/>
      <c r="F43" s="1728"/>
      <c r="G43" s="1728"/>
      <c r="H43" s="1728"/>
      <c r="I43" s="1728"/>
      <c r="J43" s="2712"/>
      <c r="K43" s="2861"/>
      <c r="L43" s="2861"/>
      <c r="M43" s="2736"/>
      <c r="N43" s="2155"/>
      <c r="O43" s="1789"/>
      <c r="P43" s="1789"/>
    </row>
    <row r="44" spans="2:21" s="1704" customFormat="1">
      <c r="B44" s="2724" t="s">
        <v>2362</v>
      </c>
      <c r="C44" s="2725"/>
      <c r="D44" s="1728"/>
      <c r="E44" s="1728"/>
      <c r="F44" s="1728"/>
      <c r="G44" s="1728"/>
      <c r="H44" s="2712"/>
      <c r="I44" s="2712"/>
      <c r="J44" s="2712"/>
      <c r="K44" s="2860"/>
      <c r="L44" s="2860"/>
      <c r="M44" s="2736"/>
      <c r="N44" s="2155"/>
      <c r="O44" s="2713"/>
      <c r="P44" s="1789"/>
    </row>
    <row r="45" spans="2:21" s="1704" customFormat="1">
      <c r="B45" s="2723" t="s">
        <v>2476</v>
      </c>
      <c r="C45" s="2725"/>
      <c r="D45" s="1728">
        <v>524000</v>
      </c>
      <c r="E45" s="1728">
        <v>531500</v>
      </c>
      <c r="F45" s="1728">
        <v>901500</v>
      </c>
      <c r="G45" s="1851">
        <f>D45+E45-F45</f>
        <v>154000</v>
      </c>
      <c r="H45" s="2712">
        <v>3686.2669999999998</v>
      </c>
      <c r="I45" s="2712">
        <v>3204.74</v>
      </c>
      <c r="J45" s="1851">
        <f>I45-H45</f>
        <v>-481.52700000000004</v>
      </c>
      <c r="K45" s="2851">
        <f>I45/BS!$F$30</f>
        <v>3.4398281771080984E-3</v>
      </c>
      <c r="L45" s="2851">
        <f>I45/'1-4.1'!$G$144</f>
        <v>5.9863329206643872E-3</v>
      </c>
      <c r="M45" s="2736"/>
      <c r="N45" s="2818">
        <f t="shared" ref="N45:P49" si="7">H45/1000</f>
        <v>3.686267</v>
      </c>
      <c r="O45" s="2818">
        <f t="shared" si="7"/>
        <v>3.2047399999999997</v>
      </c>
      <c r="P45" s="2818">
        <f t="shared" si="7"/>
        <v>-0.48152700000000004</v>
      </c>
    </row>
    <row r="46" spans="2:21" s="1704" customFormat="1">
      <c r="B46" s="2723" t="s">
        <v>1521</v>
      </c>
      <c r="C46" s="2725"/>
      <c r="D46" s="1728">
        <v>14000</v>
      </c>
      <c r="E46" s="1728">
        <v>10000</v>
      </c>
      <c r="F46" s="1728">
        <v>23000</v>
      </c>
      <c r="G46" s="1851">
        <f>D46+E46-F46</f>
        <v>1000</v>
      </c>
      <c r="H46" s="2712">
        <v>39.725000000000001</v>
      </c>
      <c r="I46" s="2712">
        <v>39.15</v>
      </c>
      <c r="J46" s="1851">
        <f>I46-H46</f>
        <v>-0.57500000000000284</v>
      </c>
      <c r="K46" s="2851">
        <f>I46/BS!$F$30</f>
        <v>4.2021902910620541E-5</v>
      </c>
      <c r="L46" s="2851">
        <f>I46/'1-4.1'!$G$144</f>
        <v>7.3130716951768556E-5</v>
      </c>
      <c r="M46" s="2736"/>
      <c r="N46" s="2818">
        <f t="shared" si="7"/>
        <v>3.9725000000000003E-2</v>
      </c>
      <c r="O46" s="2818">
        <f t="shared" si="7"/>
        <v>3.9149999999999997E-2</v>
      </c>
      <c r="P46" s="2818">
        <f t="shared" si="7"/>
        <v>-5.7500000000000281E-4</v>
      </c>
    </row>
    <row r="47" spans="2:21" s="1704" customFormat="1">
      <c r="B47" s="2723" t="s">
        <v>1843</v>
      </c>
      <c r="C47" s="2725"/>
      <c r="D47" s="1728">
        <v>9500</v>
      </c>
      <c r="E47" s="1728">
        <v>390000</v>
      </c>
      <c r="F47" s="1728">
        <v>239500</v>
      </c>
      <c r="G47" s="1851">
        <f>D47+E47-F47</f>
        <v>160000</v>
      </c>
      <c r="H47" s="2712">
        <v>29209.871999999999</v>
      </c>
      <c r="I47" s="2712">
        <v>26683.200000000001</v>
      </c>
      <c r="J47" s="1851">
        <f>I47-H47</f>
        <v>-2526.6719999999987</v>
      </c>
      <c r="K47" s="2851">
        <f>I47/BS!$F$30</f>
        <v>2.8640583390668457E-2</v>
      </c>
      <c r="L47" s="2851">
        <f>I47/'1-4.1'!$G$144</f>
        <v>4.984320680887435E-2</v>
      </c>
      <c r="M47" s="2736"/>
      <c r="N47" s="2818">
        <f t="shared" si="7"/>
        <v>29.209872000000001</v>
      </c>
      <c r="O47" s="2818">
        <f t="shared" si="7"/>
        <v>26.683199999999999</v>
      </c>
      <c r="P47" s="2818">
        <f t="shared" si="7"/>
        <v>-2.5266719999999987</v>
      </c>
    </row>
    <row r="48" spans="2:21" s="1704" customFormat="1">
      <c r="B48" s="2723" t="s">
        <v>1514</v>
      </c>
      <c r="C48" s="2725"/>
      <c r="D48" s="1728">
        <v>196000</v>
      </c>
      <c r="E48" s="1728">
        <v>302000</v>
      </c>
      <c r="F48" s="1728">
        <v>408500</v>
      </c>
      <c r="G48" s="1851">
        <f>D48+E48-F48</f>
        <v>89500</v>
      </c>
      <c r="H48" s="2712">
        <v>8253.4220000000005</v>
      </c>
      <c r="I48" s="2712">
        <v>6820.7950000000001</v>
      </c>
      <c r="J48" s="1851">
        <f>I48-H48</f>
        <v>-1432.6270000000004</v>
      </c>
      <c r="K48" s="2851">
        <f>I48/BS!$F$30</f>
        <v>7.3211439403127977E-3</v>
      </c>
      <c r="L48" s="2851">
        <f>I48/'1-4.1'!$G$144</f>
        <v>1.2740986680230862E-2</v>
      </c>
      <c r="M48" s="2736"/>
      <c r="N48" s="2818">
        <f t="shared" si="7"/>
        <v>8.2534220000000005</v>
      </c>
      <c r="O48" s="2818">
        <f t="shared" si="7"/>
        <v>6.8207950000000004</v>
      </c>
      <c r="P48" s="2818">
        <f t="shared" si="7"/>
        <v>-1.4326270000000003</v>
      </c>
    </row>
    <row r="49" spans="2:16" s="1704" customFormat="1">
      <c r="B49" s="2723" t="s">
        <v>2363</v>
      </c>
      <c r="C49" s="2725"/>
      <c r="D49" s="1728">
        <v>2000</v>
      </c>
      <c r="E49" s="1728">
        <v>4500</v>
      </c>
      <c r="F49" s="1728">
        <v>6500</v>
      </c>
      <c r="G49" s="1851">
        <f>D49+E49-F49</f>
        <v>0</v>
      </c>
      <c r="H49" s="2712">
        <v>0</v>
      </c>
      <c r="I49" s="2712">
        <v>0</v>
      </c>
      <c r="J49" s="1851">
        <f>I49-H49</f>
        <v>0</v>
      </c>
      <c r="K49" s="2851">
        <f>I49/BS!$F$30</f>
        <v>0</v>
      </c>
      <c r="L49" s="2851">
        <f>I49/'1-4.1'!$G$144</f>
        <v>0</v>
      </c>
      <c r="M49" s="2736"/>
      <c r="N49" s="2818">
        <f t="shared" si="7"/>
        <v>0</v>
      </c>
      <c r="O49" s="2818">
        <f t="shared" si="7"/>
        <v>0</v>
      </c>
      <c r="P49" s="2818">
        <f t="shared" si="7"/>
        <v>0</v>
      </c>
    </row>
    <row r="50" spans="2:16" s="1704" customFormat="1" ht="4.5" customHeight="1">
      <c r="B50" s="2723"/>
      <c r="C50" s="2725"/>
      <c r="D50" s="1728"/>
      <c r="E50" s="1728"/>
      <c r="F50" s="1728"/>
      <c r="G50" s="1851"/>
      <c r="H50" s="2712"/>
      <c r="I50" s="2712"/>
      <c r="J50" s="1851"/>
      <c r="K50" s="2851"/>
      <c r="L50" s="2851"/>
      <c r="M50" s="2736"/>
      <c r="N50" s="2155"/>
      <c r="O50" s="2713"/>
      <c r="P50" s="1789"/>
    </row>
    <row r="51" spans="2:16" s="1704" customFormat="1" ht="12.75" thickBot="1">
      <c r="B51" s="2723"/>
      <c r="C51" s="2725"/>
      <c r="D51" s="1728"/>
      <c r="E51" s="1728"/>
      <c r="F51" s="1728"/>
      <c r="G51" s="1728"/>
      <c r="H51" s="2468">
        <f>SUM(H45:H48)</f>
        <v>41189.286</v>
      </c>
      <c r="I51" s="2468">
        <f>SUM(I45:I48)</f>
        <v>36747.885000000002</v>
      </c>
      <c r="J51" s="2468">
        <f>SUM(J45:J48)</f>
        <v>-4441.4009999999989</v>
      </c>
      <c r="K51" s="2853">
        <f>SUM(K45:K48)</f>
        <v>3.9443577410999971E-2</v>
      </c>
      <c r="L51" s="2853">
        <f>SUM(L45:L48)</f>
        <v>6.8643657126721366E-2</v>
      </c>
      <c r="M51" s="2736"/>
      <c r="N51" s="2155"/>
      <c r="O51" s="2713"/>
      <c r="P51" s="1789"/>
    </row>
    <row r="52" spans="2:16" s="1704" customFormat="1" ht="9.75" customHeight="1" thickTop="1">
      <c r="B52" s="1573"/>
      <c r="C52" s="2725"/>
      <c r="D52" s="1728"/>
      <c r="E52" s="1573"/>
      <c r="F52" s="1573"/>
      <c r="G52" s="1573"/>
      <c r="H52" s="1573"/>
      <c r="I52" s="1573"/>
      <c r="J52" s="2712"/>
      <c r="K52" s="2860"/>
      <c r="L52" s="2860"/>
      <c r="M52" s="2736"/>
      <c r="N52" s="2155"/>
      <c r="O52" s="2713"/>
      <c r="P52" s="1789"/>
    </row>
    <row r="53" spans="2:16" s="1704" customFormat="1">
      <c r="B53" s="2729" t="s">
        <v>1587</v>
      </c>
      <c r="C53" s="2725"/>
      <c r="D53" s="1728"/>
      <c r="E53" s="1728"/>
      <c r="F53" s="1728"/>
      <c r="G53" s="1728"/>
      <c r="H53" s="2712"/>
      <c r="I53" s="2712"/>
      <c r="J53" s="2712"/>
      <c r="K53" s="2860"/>
      <c r="L53" s="2860"/>
      <c r="M53" s="2736"/>
      <c r="N53" s="2155"/>
      <c r="O53" s="2713"/>
      <c r="P53" s="1789"/>
    </row>
    <row r="54" spans="2:16" s="1704" customFormat="1">
      <c r="B54" s="2721" t="s">
        <v>1515</v>
      </c>
      <c r="C54" s="2725"/>
      <c r="D54" s="1728">
        <v>1500</v>
      </c>
      <c r="E54" s="1728">
        <v>7000</v>
      </c>
      <c r="F54" s="1728">
        <v>8500</v>
      </c>
      <c r="G54" s="1851">
        <f>D54+E54-F54</f>
        <v>0</v>
      </c>
      <c r="H54" s="2712">
        <v>0</v>
      </c>
      <c r="I54" s="2712">
        <v>0</v>
      </c>
      <c r="J54" s="1851">
        <f>I54-H54</f>
        <v>0</v>
      </c>
      <c r="K54" s="2851">
        <f>I54/BS!$F$30</f>
        <v>0</v>
      </c>
      <c r="L54" s="2851">
        <f>I54/'1-4.1'!$G$144</f>
        <v>0</v>
      </c>
      <c r="M54" s="2736"/>
      <c r="N54" s="2818">
        <f t="shared" ref="N54:P55" si="8">H54/1000</f>
        <v>0</v>
      </c>
      <c r="O54" s="2818">
        <f t="shared" si="8"/>
        <v>0</v>
      </c>
      <c r="P54" s="2818">
        <f t="shared" si="8"/>
        <v>0</v>
      </c>
    </row>
    <row r="55" spans="2:16" s="1704" customFormat="1">
      <c r="B55" s="2721" t="s">
        <v>1522</v>
      </c>
      <c r="C55" s="2725"/>
      <c r="D55" s="1728">
        <v>96000</v>
      </c>
      <c r="E55" s="1728">
        <v>222000</v>
      </c>
      <c r="F55" s="1728">
        <v>147500</v>
      </c>
      <c r="G55" s="1851">
        <f>D55+E55-F55</f>
        <v>170500</v>
      </c>
      <c r="H55" s="2712">
        <v>3927.3310000000001</v>
      </c>
      <c r="I55" s="2712">
        <v>3836.25</v>
      </c>
      <c r="J55" s="1851">
        <f>I55-H55</f>
        <v>-91.081000000000131</v>
      </c>
      <c r="K55" s="2851">
        <f>I55/BS!$F$30</f>
        <v>4.1176634748625301E-3</v>
      </c>
      <c r="L55" s="2851">
        <f>I55/'1-4.1'!$G$144</f>
        <v>7.1659696783198503E-3</v>
      </c>
      <c r="M55" s="2737"/>
      <c r="N55" s="2818">
        <f t="shared" si="8"/>
        <v>3.9273310000000001</v>
      </c>
      <c r="O55" s="2818">
        <f t="shared" si="8"/>
        <v>3.8362500000000002</v>
      </c>
      <c r="P55" s="2818">
        <f t="shared" si="8"/>
        <v>-9.1081000000000134E-2</v>
      </c>
    </row>
    <row r="56" spans="2:16" s="1704" customFormat="1">
      <c r="B56" s="2721"/>
      <c r="C56" s="2725"/>
      <c r="D56" s="1728"/>
      <c r="E56" s="1728"/>
      <c r="F56" s="1728"/>
      <c r="G56" s="1851"/>
      <c r="H56" s="2712"/>
      <c r="I56" s="2712"/>
      <c r="J56" s="1851"/>
      <c r="K56" s="2851"/>
      <c r="L56" s="2851"/>
      <c r="M56" s="2737"/>
      <c r="N56" s="2155"/>
      <c r="O56" s="1789"/>
      <c r="P56" s="1789"/>
    </row>
    <row r="57" spans="2:16" s="1704" customFormat="1" ht="12.75" thickBot="1">
      <c r="B57" s="2721"/>
      <c r="C57" s="2725"/>
      <c r="D57" s="1728"/>
      <c r="E57" s="1728"/>
      <c r="F57" s="1728"/>
      <c r="G57" s="1728"/>
      <c r="H57" s="2468">
        <f>SUM(H54:H55)</f>
        <v>3927.3310000000001</v>
      </c>
      <c r="I57" s="2468">
        <f>SUM(I54:I55)</f>
        <v>3836.25</v>
      </c>
      <c r="J57" s="2468">
        <f>SUM(J54:J55)</f>
        <v>-91.081000000000131</v>
      </c>
      <c r="K57" s="2854">
        <f>SUM(K54:K55)</f>
        <v>4.1176634748625301E-3</v>
      </c>
      <c r="L57" s="2854">
        <f>SUM(L54:L55)</f>
        <v>7.1659696783198503E-3</v>
      </c>
      <c r="M57" s="2737"/>
      <c r="N57" s="2155"/>
      <c r="O57" s="1789"/>
      <c r="P57" s="1789"/>
    </row>
    <row r="58" spans="2:16" s="1704" customFormat="1" ht="9.75" customHeight="1" thickTop="1">
      <c r="B58" s="2721"/>
      <c r="C58" s="2725"/>
      <c r="D58" s="1728"/>
      <c r="E58" s="1728"/>
      <c r="F58" s="1728"/>
      <c r="G58" s="1728"/>
      <c r="H58" s="2712"/>
      <c r="I58" s="2712"/>
      <c r="J58" s="1728"/>
      <c r="K58" s="2860"/>
      <c r="L58" s="2860"/>
      <c r="M58" s="2737"/>
      <c r="N58" s="2155"/>
      <c r="O58" s="1789"/>
      <c r="P58" s="1789"/>
    </row>
    <row r="59" spans="2:16" s="1704" customFormat="1">
      <c r="B59" s="2729" t="s">
        <v>2502</v>
      </c>
      <c r="C59" s="2725"/>
      <c r="D59" s="1728"/>
      <c r="E59" s="1728"/>
      <c r="F59" s="1728"/>
      <c r="G59" s="1728"/>
      <c r="H59" s="2712"/>
      <c r="I59" s="2712"/>
      <c r="J59" s="1728"/>
      <c r="K59" s="2860"/>
      <c r="L59" s="2860"/>
      <c r="M59" s="2737"/>
      <c r="N59" s="2155"/>
      <c r="O59" s="1789"/>
      <c r="P59" s="1789"/>
    </row>
    <row r="60" spans="2:16" s="1704" customFormat="1">
      <c r="B60" s="2721" t="s">
        <v>2500</v>
      </c>
      <c r="C60" s="2725"/>
      <c r="D60" s="1728">
        <v>0</v>
      </c>
      <c r="E60" s="1728">
        <v>420000</v>
      </c>
      <c r="F60" s="1728">
        <v>420000</v>
      </c>
      <c r="G60" s="1851">
        <f>D60+E60-F60</f>
        <v>0</v>
      </c>
      <c r="H60" s="2712">
        <v>0</v>
      </c>
      <c r="I60" s="2712">
        <v>0</v>
      </c>
      <c r="J60" s="1851">
        <f>I60-H60</f>
        <v>0</v>
      </c>
      <c r="K60" s="2851">
        <f>I60/BS!$F$30</f>
        <v>0</v>
      </c>
      <c r="L60" s="2851">
        <f>I60/'1-4.1'!$G$144</f>
        <v>0</v>
      </c>
      <c r="M60" s="2737"/>
      <c r="N60" s="2818">
        <f t="shared" ref="N60:P62" si="9">H60/1000</f>
        <v>0</v>
      </c>
      <c r="O60" s="2818">
        <f t="shared" si="9"/>
        <v>0</v>
      </c>
      <c r="P60" s="2818">
        <f t="shared" si="9"/>
        <v>0</v>
      </c>
    </row>
    <row r="61" spans="2:16" s="1704" customFormat="1">
      <c r="B61" s="2721" t="s">
        <v>2501</v>
      </c>
      <c r="C61" s="2725"/>
      <c r="D61" s="1728">
        <v>0</v>
      </c>
      <c r="E61" s="1728">
        <v>404500</v>
      </c>
      <c r="F61" s="1728">
        <v>11000</v>
      </c>
      <c r="G61" s="1851">
        <f>D61+E61-F61</f>
        <v>393500</v>
      </c>
      <c r="H61" s="2712">
        <v>14030.361000000001</v>
      </c>
      <c r="I61" s="2712">
        <v>14138.455</v>
      </c>
      <c r="J61" s="1851">
        <f>I61-H61</f>
        <v>108.09399999999914</v>
      </c>
      <c r="K61" s="2851">
        <f>I61/BS!$F$30</f>
        <v>1.5175601106415772E-2</v>
      </c>
      <c r="L61" s="2851">
        <f>I61/'1-4.1'!$G$144</f>
        <v>2.6410098358628786E-2</v>
      </c>
      <c r="M61" s="2737"/>
      <c r="N61" s="2818">
        <f t="shared" si="9"/>
        <v>14.030361000000001</v>
      </c>
      <c r="O61" s="2818">
        <f t="shared" si="9"/>
        <v>14.138455</v>
      </c>
      <c r="P61" s="2818">
        <f t="shared" si="9"/>
        <v>0.10809399999999914</v>
      </c>
    </row>
    <row r="62" spans="2:16" s="1704" customFormat="1">
      <c r="B62" s="2721" t="s">
        <v>2377</v>
      </c>
      <c r="C62" s="2725"/>
      <c r="D62" s="1728">
        <v>453500</v>
      </c>
      <c r="E62" s="1728">
        <v>1951000</v>
      </c>
      <c r="F62" s="1728">
        <v>1112500</v>
      </c>
      <c r="G62" s="1851">
        <f>D62+E62-F62</f>
        <v>1292000</v>
      </c>
      <c r="H62" s="2712">
        <v>44450.097000000002</v>
      </c>
      <c r="I62" s="2712">
        <v>40336.239999999998</v>
      </c>
      <c r="J62" s="1851">
        <f>I62-H62</f>
        <v>-4113.8570000000036</v>
      </c>
      <c r="K62" s="2851">
        <f>I62/BS!$F$30</f>
        <v>4.3295161202030356E-2</v>
      </c>
      <c r="L62" s="2851">
        <f>I62/'1-4.1'!$G$144</f>
        <v>7.5346568335596553E-2</v>
      </c>
      <c r="M62" s="2737"/>
      <c r="N62" s="2818">
        <f t="shared" si="9"/>
        <v>44.450097</v>
      </c>
      <c r="O62" s="2818">
        <f t="shared" si="9"/>
        <v>40.336239999999997</v>
      </c>
      <c r="P62" s="2818">
        <f t="shared" si="9"/>
        <v>-4.1138570000000039</v>
      </c>
    </row>
    <row r="63" spans="2:16" s="1704" customFormat="1" ht="12.75" thickBot="1">
      <c r="B63" s="2721"/>
      <c r="C63" s="2725"/>
      <c r="D63" s="1728"/>
      <c r="E63" s="1728"/>
      <c r="F63" s="1728"/>
      <c r="G63" s="1728"/>
      <c r="H63" s="2468">
        <f>SUM(H60:H62)</f>
        <v>58480.457999999999</v>
      </c>
      <c r="I63" s="2468">
        <f>SUM(I60:I62)</f>
        <v>54474.695</v>
      </c>
      <c r="J63" s="2468">
        <f>SUM(J60:J62)</f>
        <v>-4005.7630000000045</v>
      </c>
      <c r="K63" s="2854">
        <f>SUM(K60:K62)</f>
        <v>5.8470762308446125E-2</v>
      </c>
      <c r="L63" s="2854">
        <f>SUM(L60:L62)</f>
        <v>0.10175666669422534</v>
      </c>
      <c r="M63" s="2737"/>
      <c r="N63" s="2155"/>
      <c r="O63" s="1789"/>
      <c r="P63" s="1789"/>
    </row>
    <row r="64" spans="2:16" s="1704" customFormat="1" ht="12.75" thickTop="1">
      <c r="B64" s="2721"/>
      <c r="C64" s="2725"/>
      <c r="D64" s="1728"/>
      <c r="E64" s="1728"/>
      <c r="F64" s="1728"/>
      <c r="G64" s="1728"/>
      <c r="H64" s="2719"/>
      <c r="I64" s="2719"/>
      <c r="J64" s="2719"/>
      <c r="K64" s="2855"/>
      <c r="L64" s="2855"/>
      <c r="M64" s="2737"/>
      <c r="N64" s="2155"/>
      <c r="O64" s="1789"/>
      <c r="P64" s="1789"/>
    </row>
    <row r="65" spans="2:16" s="1704" customFormat="1">
      <c r="B65" s="2729" t="s">
        <v>2503</v>
      </c>
      <c r="C65" s="2725"/>
      <c r="D65" s="1728"/>
      <c r="E65" s="1728"/>
      <c r="F65" s="1728"/>
      <c r="G65" s="1728"/>
      <c r="H65" s="2712"/>
      <c r="I65" s="2712"/>
      <c r="J65" s="1728"/>
      <c r="K65" s="2860"/>
      <c r="L65" s="2860"/>
      <c r="M65" s="2737"/>
      <c r="N65" s="2155"/>
      <c r="O65" s="1789"/>
      <c r="P65" s="1789"/>
    </row>
    <row r="66" spans="2:16" s="1704" customFormat="1">
      <c r="B66" s="2721" t="s">
        <v>2504</v>
      </c>
      <c r="C66" s="2725"/>
      <c r="D66" s="1728">
        <v>0</v>
      </c>
      <c r="E66" s="1728">
        <v>2500</v>
      </c>
      <c r="F66" s="1728">
        <v>1000</v>
      </c>
      <c r="G66" s="1851">
        <f>D66+E66-F66</f>
        <v>1500</v>
      </c>
      <c r="H66" s="2712">
        <v>155.25</v>
      </c>
      <c r="I66" s="2712">
        <v>152.17500000000001</v>
      </c>
      <c r="J66" s="1851">
        <f>I66-H66</f>
        <v>-3.0749999999999886</v>
      </c>
      <c r="K66" s="2851">
        <f>I66/BS!$F$30</f>
        <v>1.6333800958936604E-4</v>
      </c>
      <c r="L66" s="2851">
        <f>I66/'1-4.1'!$G$144</f>
        <v>2.8425713543129964E-4</v>
      </c>
      <c r="M66" s="2737"/>
      <c r="N66" s="2818">
        <f>H66/1000</f>
        <v>0.15525</v>
      </c>
      <c r="O66" s="2818">
        <f>I66/1000</f>
        <v>0.152175</v>
      </c>
      <c r="P66" s="2818">
        <f>J66/1000</f>
        <v>-3.0749999999999888E-3</v>
      </c>
    </row>
    <row r="67" spans="2:16" s="1704" customFormat="1" ht="12.75" thickBot="1">
      <c r="B67" s="2721"/>
      <c r="C67" s="2725"/>
      <c r="D67" s="1728"/>
      <c r="E67" s="1728"/>
      <c r="F67" s="1728"/>
      <c r="G67" s="1728"/>
      <c r="H67" s="2815">
        <f>SUM(H66)</f>
        <v>155.25</v>
      </c>
      <c r="I67" s="2815">
        <f>SUM(I66)</f>
        <v>152.17500000000001</v>
      </c>
      <c r="J67" s="2816">
        <f>SUM(J66)</f>
        <v>-3.0749999999999886</v>
      </c>
      <c r="K67" s="2854">
        <f>SUM(K66)</f>
        <v>1.6333800958936604E-4</v>
      </c>
      <c r="L67" s="2854">
        <f>SUM(L66)</f>
        <v>2.8425713543129964E-4</v>
      </c>
      <c r="M67" s="2737"/>
      <c r="N67" s="2155"/>
      <c r="O67" s="1789"/>
      <c r="P67" s="1789"/>
    </row>
    <row r="68" spans="2:16" s="1704" customFormat="1" ht="6.75" customHeight="1" thickTop="1">
      <c r="B68" s="2721"/>
      <c r="C68" s="2725"/>
      <c r="D68" s="1728"/>
      <c r="E68" s="1728"/>
      <c r="F68" s="1728"/>
      <c r="G68" s="1728"/>
      <c r="H68" s="2712"/>
      <c r="I68" s="2712"/>
      <c r="J68" s="1728"/>
      <c r="K68" s="2860"/>
      <c r="L68" s="2860"/>
      <c r="M68" s="2737"/>
      <c r="N68" s="2155"/>
      <c r="O68" s="1789"/>
      <c r="P68" s="1789"/>
    </row>
    <row r="69" spans="2:16" s="1704" customFormat="1">
      <c r="B69" s="2730" t="s">
        <v>2378</v>
      </c>
      <c r="C69" s="2725"/>
      <c r="D69" s="1728"/>
      <c r="E69" s="1728"/>
      <c r="F69" s="1728"/>
      <c r="G69" s="1728"/>
      <c r="H69" s="1728"/>
      <c r="I69" s="1728"/>
      <c r="J69" s="1728"/>
      <c r="K69" s="2860"/>
      <c r="L69" s="2860"/>
      <c r="M69" s="2737"/>
      <c r="N69" s="2155"/>
      <c r="O69" s="1789"/>
      <c r="P69" s="1789"/>
    </row>
    <row r="70" spans="2:16" s="1704" customFormat="1" ht="3.75" customHeight="1">
      <c r="B70" s="2730"/>
      <c r="C70" s="2725"/>
      <c r="D70" s="1728"/>
      <c r="E70" s="1728"/>
      <c r="F70" s="1728"/>
      <c r="G70" s="1728"/>
      <c r="H70" s="1728"/>
      <c r="I70" s="1728"/>
      <c r="J70" s="1728"/>
      <c r="K70" s="2860"/>
      <c r="L70" s="2860"/>
      <c r="M70" s="2737"/>
      <c r="N70" s="2155"/>
      <c r="O70" s="1789"/>
      <c r="P70" s="1789"/>
    </row>
    <row r="71" spans="2:16" s="1704" customFormat="1">
      <c r="B71" s="2728" t="s">
        <v>1516</v>
      </c>
      <c r="C71" s="2725"/>
      <c r="D71" s="1728">
        <v>26000</v>
      </c>
      <c r="E71" s="1728">
        <v>300500</v>
      </c>
      <c r="F71" s="1728">
        <v>276500</v>
      </c>
      <c r="G71" s="1851">
        <f>D71+E71-F71</f>
        <v>50000</v>
      </c>
      <c r="H71" s="1728">
        <v>4563.9250000000002</v>
      </c>
      <c r="I71" s="1728">
        <v>4190</v>
      </c>
      <c r="J71" s="1851">
        <f>I71-H71</f>
        <v>-373.92500000000018</v>
      </c>
      <c r="K71" s="2851">
        <f>I71/BS!$F$30</f>
        <v>4.4973633000127732E-3</v>
      </c>
      <c r="L71" s="2851">
        <f>I71/'1-4.1'!$G$144</f>
        <v>7.8267612778521144E-3</v>
      </c>
      <c r="M71" s="2737"/>
      <c r="N71" s="2818">
        <f t="shared" ref="N71:P72" si="10">H71/1000</f>
        <v>4.5639250000000002</v>
      </c>
      <c r="O71" s="2818">
        <f t="shared" si="10"/>
        <v>4.1900000000000004</v>
      </c>
      <c r="P71" s="2818">
        <f t="shared" si="10"/>
        <v>-0.37392500000000017</v>
      </c>
    </row>
    <row r="72" spans="2:16" s="1704" customFormat="1">
      <c r="B72" s="2728" t="s">
        <v>1517</v>
      </c>
      <c r="C72" s="2725"/>
      <c r="D72" s="1728">
        <v>8500</v>
      </c>
      <c r="E72" s="1728">
        <v>107000</v>
      </c>
      <c r="F72" s="1728">
        <v>115500</v>
      </c>
      <c r="G72" s="1851">
        <f>D72+E72-F72</f>
        <v>0</v>
      </c>
      <c r="H72" s="1728">
        <v>0</v>
      </c>
      <c r="I72" s="1728">
        <v>0</v>
      </c>
      <c r="J72" s="1851">
        <f>I72-H72</f>
        <v>0</v>
      </c>
      <c r="K72" s="2851">
        <f>I72/BS!$F$30</f>
        <v>0</v>
      </c>
      <c r="L72" s="2851">
        <f>I72/'1-4.1'!$G$144</f>
        <v>0</v>
      </c>
      <c r="M72" s="2736"/>
      <c r="N72" s="2818">
        <f t="shared" si="10"/>
        <v>0</v>
      </c>
      <c r="O72" s="2818">
        <f t="shared" si="10"/>
        <v>0</v>
      </c>
      <c r="P72" s="2818">
        <f t="shared" si="10"/>
        <v>0</v>
      </c>
    </row>
    <row r="73" spans="2:16" s="1704" customFormat="1" ht="12.75" thickBot="1">
      <c r="B73" s="2722"/>
      <c r="C73" s="2725"/>
      <c r="D73" s="1728"/>
      <c r="E73" s="1728"/>
      <c r="F73" s="1728"/>
      <c r="G73" s="1728"/>
      <c r="H73" s="2468">
        <f>SUM(H71:H72)</f>
        <v>4563.9250000000002</v>
      </c>
      <c r="I73" s="2468">
        <f>SUM(I71:I72)</f>
        <v>4190</v>
      </c>
      <c r="J73" s="2468">
        <f>SUM(J71:J72)</f>
        <v>-373.92500000000018</v>
      </c>
      <c r="K73" s="2854">
        <f>SUM(K71:K72)</f>
        <v>4.4973633000127732E-3</v>
      </c>
      <c r="L73" s="2854">
        <f>SUM(L71:L72)</f>
        <v>7.8267612778521144E-3</v>
      </c>
      <c r="M73" s="2736"/>
      <c r="N73" s="2155"/>
      <c r="O73" s="1789"/>
      <c r="P73" s="1789"/>
    </row>
    <row r="74" spans="2:16" s="1704" customFormat="1" ht="8.25" customHeight="1" thickTop="1">
      <c r="B74" s="2722"/>
      <c r="C74" s="2725"/>
      <c r="D74" s="1728"/>
      <c r="E74" s="1728"/>
      <c r="F74" s="1728"/>
      <c r="G74" s="1728"/>
      <c r="H74" s="2712"/>
      <c r="I74" s="2712"/>
      <c r="J74" s="2712"/>
      <c r="K74" s="2861"/>
      <c r="L74" s="2861"/>
      <c r="M74" s="2736"/>
      <c r="N74" s="2155"/>
      <c r="O74" s="1789"/>
      <c r="P74" s="1789"/>
    </row>
    <row r="75" spans="2:16" s="1704" customFormat="1">
      <c r="B75" s="2731" t="s">
        <v>2364</v>
      </c>
      <c r="C75" s="2725"/>
      <c r="D75" s="1728"/>
      <c r="E75" s="1728"/>
      <c r="F75" s="1728"/>
      <c r="G75" s="1728"/>
      <c r="H75" s="2712"/>
      <c r="I75" s="2712"/>
      <c r="J75" s="2712"/>
      <c r="K75" s="2860"/>
      <c r="L75" s="2860"/>
      <c r="M75" s="2736"/>
      <c r="N75" s="2155"/>
      <c r="O75" s="1789"/>
      <c r="P75" s="1789"/>
    </row>
    <row r="76" spans="2:16" s="1704" customFormat="1">
      <c r="B76" s="2722" t="s">
        <v>2505</v>
      </c>
      <c r="C76" s="2725"/>
      <c r="D76" s="1728">
        <v>6500</v>
      </c>
      <c r="E76" s="1728">
        <v>35000</v>
      </c>
      <c r="F76" s="1728">
        <v>41500</v>
      </c>
      <c r="G76" s="1851">
        <f>D76+E76-F76</f>
        <v>0</v>
      </c>
      <c r="H76" s="2712">
        <v>0</v>
      </c>
      <c r="I76" s="2712">
        <v>0</v>
      </c>
      <c r="J76" s="1851">
        <f>I76-H76</f>
        <v>0</v>
      </c>
      <c r="K76" s="2851">
        <f>I76/BS!$F$30</f>
        <v>0</v>
      </c>
      <c r="L76" s="2851">
        <f>I76/'1-4.1'!$G$144</f>
        <v>0</v>
      </c>
      <c r="M76" s="2736"/>
      <c r="N76" s="2818">
        <f t="shared" ref="N76:P78" si="11">H76/1000</f>
        <v>0</v>
      </c>
      <c r="O76" s="2818">
        <f t="shared" si="11"/>
        <v>0</v>
      </c>
      <c r="P76" s="2818">
        <f t="shared" si="11"/>
        <v>0</v>
      </c>
    </row>
    <row r="77" spans="2:16" s="1704" customFormat="1">
      <c r="B77" s="2722" t="s">
        <v>2506</v>
      </c>
      <c r="C77" s="2725"/>
      <c r="D77" s="1728">
        <v>93500</v>
      </c>
      <c r="E77" s="1728">
        <v>387500</v>
      </c>
      <c r="F77" s="1728">
        <v>366000</v>
      </c>
      <c r="G77" s="1851">
        <f>D77+E77-F77</f>
        <v>115000</v>
      </c>
      <c r="H77" s="2712">
        <v>5559.9740000000002</v>
      </c>
      <c r="I77" s="2712">
        <v>5230.2</v>
      </c>
      <c r="J77" s="1851">
        <f>I77-H77</f>
        <v>-329.77400000000034</v>
      </c>
      <c r="K77" s="2851">
        <f>I77/BS!$F$30</f>
        <v>5.6138686233238198E-3</v>
      </c>
      <c r="L77" s="2851">
        <f>I77/'1-4.1'!$G$144</f>
        <v>9.7698154738477625E-3</v>
      </c>
      <c r="M77" s="2737"/>
      <c r="N77" s="2818">
        <f t="shared" si="11"/>
        <v>5.5599740000000004</v>
      </c>
      <c r="O77" s="2818">
        <f t="shared" si="11"/>
        <v>5.2302</v>
      </c>
      <c r="P77" s="2818">
        <f t="shared" si="11"/>
        <v>-0.32977400000000034</v>
      </c>
    </row>
    <row r="78" spans="2:16" s="1704" customFormat="1">
      <c r="B78" s="2722" t="s">
        <v>2365</v>
      </c>
      <c r="C78" s="2725"/>
      <c r="D78" s="1728">
        <v>3000</v>
      </c>
      <c r="E78" s="1728">
        <v>0</v>
      </c>
      <c r="F78" s="1728">
        <v>3000</v>
      </c>
      <c r="G78" s="1851">
        <f>D78+E78-F78</f>
        <v>0</v>
      </c>
      <c r="H78" s="2712">
        <v>0</v>
      </c>
      <c r="I78" s="2712">
        <v>0</v>
      </c>
      <c r="J78" s="1851">
        <f>I78-H78</f>
        <v>0</v>
      </c>
      <c r="K78" s="2851">
        <f>I78/BS!$F$30</f>
        <v>0</v>
      </c>
      <c r="L78" s="2851">
        <f>I78/'1-4.1'!$G$144</f>
        <v>0</v>
      </c>
      <c r="M78" s="2737"/>
      <c r="N78" s="2818">
        <f t="shared" si="11"/>
        <v>0</v>
      </c>
      <c r="O78" s="2818">
        <f t="shared" si="11"/>
        <v>0</v>
      </c>
      <c r="P78" s="2818">
        <f t="shared" si="11"/>
        <v>0</v>
      </c>
    </row>
    <row r="79" spans="2:16" s="1704" customFormat="1" ht="12.75" thickBot="1">
      <c r="B79" s="2722"/>
      <c r="C79" s="2725"/>
      <c r="D79" s="1728"/>
      <c r="E79" s="1728"/>
      <c r="F79" s="1728"/>
      <c r="G79" s="1851"/>
      <c r="H79" s="2468">
        <f>SUM(H76:H77)</f>
        <v>5559.9740000000002</v>
      </c>
      <c r="I79" s="2468">
        <f>SUM(I76:I77)</f>
        <v>5230.2</v>
      </c>
      <c r="J79" s="2468">
        <f>SUM(J76:J77)</f>
        <v>-329.77400000000034</v>
      </c>
      <c r="K79" s="2854">
        <f>SUM(K76:K77)</f>
        <v>5.6138686233238198E-3</v>
      </c>
      <c r="L79" s="2854">
        <f>SUM(L76:L77)</f>
        <v>9.7698154738477625E-3</v>
      </c>
      <c r="M79" s="2737"/>
      <c r="N79" s="2155"/>
      <c r="O79" s="1789"/>
      <c r="P79" s="1789"/>
    </row>
    <row r="80" spans="2:16" s="1704" customFormat="1" ht="12.75" thickTop="1">
      <c r="B80" s="2726"/>
      <c r="C80" s="2725"/>
      <c r="D80" s="1728"/>
      <c r="E80" s="1728"/>
      <c r="F80" s="1728"/>
      <c r="G80" s="1728"/>
      <c r="H80" s="2712"/>
      <c r="I80" s="2712"/>
      <c r="J80" s="1728"/>
      <c r="K80" s="2860"/>
      <c r="L80" s="2860"/>
      <c r="M80" s="2737"/>
      <c r="N80" s="2155"/>
      <c r="O80" s="1789"/>
      <c r="P80" s="1789"/>
    </row>
    <row r="81" spans="2:16" s="1704" customFormat="1">
      <c r="B81" s="2724" t="s">
        <v>2366</v>
      </c>
      <c r="C81" s="2725"/>
      <c r="D81" s="1728"/>
      <c r="E81" s="1728"/>
      <c r="F81" s="1728"/>
      <c r="G81" s="1728"/>
      <c r="H81" s="1728"/>
      <c r="I81" s="1728"/>
      <c r="J81" s="2712"/>
      <c r="K81" s="2861"/>
      <c r="L81" s="2861"/>
      <c r="M81" s="2736"/>
      <c r="N81" s="2155"/>
      <c r="O81" s="1789"/>
      <c r="P81" s="1789"/>
    </row>
    <row r="82" spans="2:16" s="1704" customFormat="1">
      <c r="B82" s="2728" t="s">
        <v>2526</v>
      </c>
      <c r="C82" s="2725"/>
      <c r="D82" s="1728">
        <v>0</v>
      </c>
      <c r="E82" s="1728">
        <v>25500</v>
      </c>
      <c r="F82" s="1728">
        <v>20000</v>
      </c>
      <c r="G82" s="1851">
        <f>D82+E82-F82</f>
        <v>5500</v>
      </c>
      <c r="H82" s="2712">
        <v>1252.9100000000001</v>
      </c>
      <c r="I82" s="2712">
        <v>1108.3050000000001</v>
      </c>
      <c r="J82" s="1851">
        <f>I82-H82</f>
        <v>-144.60500000000002</v>
      </c>
      <c r="K82" s="2851">
        <f>I82/BS!$F$30</f>
        <v>1.1896062606731876E-3</v>
      </c>
      <c r="L82" s="2851">
        <f>I82/'1-4.1'!$G$144</f>
        <v>2.0702717560978252E-3</v>
      </c>
      <c r="M82" s="2736"/>
      <c r="N82" s="2818">
        <f>H82/1000</f>
        <v>1.2529100000000002</v>
      </c>
      <c r="O82" s="2818">
        <f>I82/1000</f>
        <v>1.1083050000000001</v>
      </c>
      <c r="P82" s="2818">
        <f>J82/1000</f>
        <v>-0.14460500000000001</v>
      </c>
    </row>
    <row r="83" spans="2:16" s="1704" customFormat="1" ht="12.75" thickBot="1">
      <c r="B83" s="1573"/>
      <c r="C83" s="2725"/>
      <c r="D83" s="1728"/>
      <c r="E83" s="1728"/>
      <c r="F83" s="1728"/>
      <c r="G83" s="1728"/>
      <c r="H83" s="2468">
        <f>SUM(H81:H82)</f>
        <v>1252.9100000000001</v>
      </c>
      <c r="I83" s="2468">
        <f>SUM(I81:I82)</f>
        <v>1108.3050000000001</v>
      </c>
      <c r="J83" s="2468">
        <f>SUM(J81:J82)</f>
        <v>-144.60500000000002</v>
      </c>
      <c r="K83" s="2854">
        <f>SUM(K81:K82)</f>
        <v>1.1896062606731876E-3</v>
      </c>
      <c r="L83" s="2854">
        <f>SUM(L81:L82)</f>
        <v>2.0702717560978252E-3</v>
      </c>
      <c r="M83" s="2736"/>
      <c r="N83" s="2155"/>
      <c r="O83" s="2715"/>
      <c r="P83" s="1789"/>
    </row>
    <row r="84" spans="2:16" s="1704" customFormat="1" ht="12.75" thickTop="1">
      <c r="B84" s="2726"/>
      <c r="C84" s="2725"/>
      <c r="D84" s="1728"/>
      <c r="E84" s="1728"/>
      <c r="F84" s="1728"/>
      <c r="G84" s="1728"/>
      <c r="H84" s="2712"/>
      <c r="I84" s="2712"/>
      <c r="J84" s="2712"/>
      <c r="K84" s="2860"/>
      <c r="L84" s="2860"/>
      <c r="M84" s="2736"/>
      <c r="N84" s="2155"/>
      <c r="O84" s="1581"/>
      <c r="P84" s="1789"/>
    </row>
    <row r="85" spans="2:16" s="1704" customFormat="1">
      <c r="B85" s="2730" t="s">
        <v>2367</v>
      </c>
      <c r="C85" s="2725"/>
      <c r="D85" s="1728"/>
      <c r="E85" s="1728"/>
      <c r="F85" s="1728"/>
      <c r="G85" s="1728"/>
      <c r="H85" s="2712"/>
      <c r="I85" s="2712"/>
      <c r="J85" s="2712"/>
      <c r="K85" s="2860"/>
      <c r="L85" s="2860"/>
      <c r="M85" s="2736"/>
      <c r="N85" s="2155"/>
      <c r="O85" s="1581"/>
      <c r="P85" s="1789"/>
    </row>
    <row r="86" spans="2:16" s="1704" customFormat="1">
      <c r="B86" s="2723" t="s">
        <v>1518</v>
      </c>
      <c r="C86" s="2725"/>
      <c r="D86" s="1728">
        <v>10500</v>
      </c>
      <c r="E86" s="1728">
        <v>364500</v>
      </c>
      <c r="F86" s="1728">
        <v>370000</v>
      </c>
      <c r="G86" s="1851">
        <f>D86+E86-F86</f>
        <v>5000</v>
      </c>
      <c r="H86" s="2712">
        <v>397.17500000000001</v>
      </c>
      <c r="I86" s="2712">
        <v>367.65</v>
      </c>
      <c r="J86" s="1851">
        <f>I86-H86</f>
        <v>-29.525000000000034</v>
      </c>
      <c r="K86" s="2851">
        <f>I86/BS!$F$30</f>
        <v>3.9461947905720663E-4</v>
      </c>
      <c r="L86" s="2851">
        <f>I86/'1-4.1'!$G$144</f>
        <v>6.8675627298384956E-4</v>
      </c>
      <c r="M86" s="2736"/>
      <c r="N86" s="2818">
        <f t="shared" ref="N86:P88" si="12">H86/1000</f>
        <v>0.397175</v>
      </c>
      <c r="O86" s="2818">
        <f t="shared" si="12"/>
        <v>0.36764999999999998</v>
      </c>
      <c r="P86" s="2818">
        <f t="shared" si="12"/>
        <v>-2.9525000000000034E-2</v>
      </c>
    </row>
    <row r="87" spans="2:16" s="1704" customFormat="1">
      <c r="B87" s="2723" t="s">
        <v>2381</v>
      </c>
      <c r="C87" s="2725"/>
      <c r="D87" s="1728">
        <v>202000</v>
      </c>
      <c r="E87" s="1728">
        <v>22500</v>
      </c>
      <c r="F87" s="1728">
        <v>214500</v>
      </c>
      <c r="G87" s="1851">
        <f>D87+E87-F87</f>
        <v>10000</v>
      </c>
      <c r="H87" s="2712">
        <v>34.813000000000002</v>
      </c>
      <c r="I87" s="2712">
        <v>40</v>
      </c>
      <c r="J87" s="1851">
        <f>I87-H87</f>
        <v>5.1869999999999976</v>
      </c>
      <c r="K87" s="2851">
        <f>I87/BS!$F$30</f>
        <v>4.2934255847377307E-5</v>
      </c>
      <c r="L87" s="2851">
        <f>I87/'1-4.1'!$G$144</f>
        <v>7.471848475276481E-5</v>
      </c>
      <c r="M87" s="2736"/>
      <c r="N87" s="2818">
        <f t="shared" si="12"/>
        <v>3.4813000000000004E-2</v>
      </c>
      <c r="O87" s="2818">
        <f t="shared" si="12"/>
        <v>0.04</v>
      </c>
      <c r="P87" s="2818">
        <f t="shared" si="12"/>
        <v>5.186999999999998E-3</v>
      </c>
    </row>
    <row r="88" spans="2:16" s="1704" customFormat="1">
      <c r="B88" s="2723" t="s">
        <v>2368</v>
      </c>
      <c r="C88" s="2725"/>
      <c r="D88" s="1728">
        <v>181000</v>
      </c>
      <c r="E88" s="1728">
        <v>11000</v>
      </c>
      <c r="F88" s="1728">
        <v>192000</v>
      </c>
      <c r="G88" s="1851">
        <f>D88+E88-F88</f>
        <v>0</v>
      </c>
      <c r="H88" s="2712">
        <v>0</v>
      </c>
      <c r="I88" s="2712">
        <v>0</v>
      </c>
      <c r="J88" s="1851">
        <f>I88-H88</f>
        <v>0</v>
      </c>
      <c r="K88" s="2851">
        <f>I88/BS!$F$30</f>
        <v>0</v>
      </c>
      <c r="L88" s="2851">
        <f>I88/'1-4.1'!$G$144</f>
        <v>0</v>
      </c>
      <c r="M88" s="2736"/>
      <c r="N88" s="2818">
        <f t="shared" si="12"/>
        <v>0</v>
      </c>
      <c r="O88" s="2818">
        <f t="shared" si="12"/>
        <v>0</v>
      </c>
      <c r="P88" s="2818">
        <f t="shared" si="12"/>
        <v>0</v>
      </c>
    </row>
    <row r="89" spans="2:16" s="1704" customFormat="1" ht="12.75" thickBot="1">
      <c r="B89" s="2723"/>
      <c r="C89" s="2725"/>
      <c r="D89" s="1728"/>
      <c r="E89" s="1728"/>
      <c r="F89" s="1728"/>
      <c r="G89" s="1851"/>
      <c r="H89" s="2468">
        <f>SUM(H86:H88)</f>
        <v>431.988</v>
      </c>
      <c r="I89" s="2468">
        <f>SUM(I86:I88)</f>
        <v>407.65</v>
      </c>
      <c r="J89" s="2468">
        <f>SUM(J86:J88)</f>
        <v>-24.338000000000036</v>
      </c>
      <c r="K89" s="2853">
        <f>SUM(K86:K88)</f>
        <v>4.3755373490458394E-4</v>
      </c>
      <c r="L89" s="2853">
        <f>SUM(L86:L88)</f>
        <v>7.6147475773661439E-4</v>
      </c>
      <c r="M89" s="2736"/>
      <c r="N89" s="2155"/>
      <c r="O89" s="1581"/>
      <c r="P89" s="1789"/>
    </row>
    <row r="90" spans="2:16" s="1704" customFormat="1" ht="12.75" thickTop="1">
      <c r="B90" s="2723"/>
      <c r="C90" s="2725"/>
      <c r="D90" s="1728"/>
      <c r="E90" s="1728"/>
      <c r="F90" s="1728"/>
      <c r="G90" s="1728"/>
      <c r="H90" s="2712"/>
      <c r="I90" s="2712"/>
      <c r="J90" s="2712"/>
      <c r="K90" s="2860"/>
      <c r="L90" s="2860"/>
      <c r="M90" s="2736"/>
      <c r="N90" s="2155"/>
      <c r="O90" s="1581"/>
      <c r="P90" s="1789"/>
    </row>
    <row r="91" spans="2:16" s="1704" customFormat="1">
      <c r="B91" s="2724" t="s">
        <v>2369</v>
      </c>
      <c r="C91" s="2725"/>
      <c r="D91" s="1728"/>
      <c r="E91" s="1728"/>
      <c r="F91" s="1728"/>
      <c r="G91" s="1728"/>
      <c r="H91" s="2712"/>
      <c r="I91" s="2712"/>
      <c r="J91" s="1728"/>
      <c r="K91" s="2860"/>
      <c r="L91" s="2860"/>
      <c r="M91" s="2737"/>
      <c r="N91" s="2155"/>
      <c r="O91" s="1789"/>
      <c r="P91" s="1789"/>
    </row>
    <row r="92" spans="2:16" s="1704" customFormat="1">
      <c r="B92" s="2732" t="s">
        <v>1519</v>
      </c>
      <c r="C92" s="2725"/>
      <c r="D92" s="1728">
        <v>110000</v>
      </c>
      <c r="E92" s="1728">
        <v>70500</v>
      </c>
      <c r="F92" s="1728">
        <v>153000</v>
      </c>
      <c r="G92" s="1851">
        <f>D92+E92-F92</f>
        <v>27500</v>
      </c>
      <c r="H92" s="1728">
        <v>5150.8220000000001</v>
      </c>
      <c r="I92" s="1728">
        <v>4916.45</v>
      </c>
      <c r="J92" s="1851">
        <f>I92-H92</f>
        <v>-234.3720000000003</v>
      </c>
      <c r="K92" s="2851">
        <f>I92/BS!$F$30</f>
        <v>5.2771030540209535E-3</v>
      </c>
      <c r="L92" s="2851">
        <f>I92/'1-4.1'!$G$144</f>
        <v>9.1837423590682629E-3</v>
      </c>
      <c r="M92" s="2736"/>
      <c r="N92" s="2818">
        <f t="shared" ref="N92:P95" si="13">H92/1000</f>
        <v>5.1508219999999998</v>
      </c>
      <c r="O92" s="2818">
        <f t="shared" si="13"/>
        <v>4.9164500000000002</v>
      </c>
      <c r="P92" s="2818">
        <f t="shared" si="13"/>
        <v>-0.2343720000000003</v>
      </c>
    </row>
    <row r="93" spans="2:16" s="1704" customFormat="1">
      <c r="B93" s="2732" t="s">
        <v>2507</v>
      </c>
      <c r="C93" s="2725"/>
      <c r="D93" s="1728">
        <v>1224500</v>
      </c>
      <c r="E93" s="1728">
        <v>8115500</v>
      </c>
      <c r="F93" s="1728">
        <v>4366000</v>
      </c>
      <c r="G93" s="1851">
        <f>D93+E93-F93</f>
        <v>4974000</v>
      </c>
      <c r="H93" s="2712">
        <v>41541.853000000003</v>
      </c>
      <c r="I93" s="2712">
        <v>40687.32</v>
      </c>
      <c r="J93" s="1851">
        <f>I93-H93</f>
        <v>-854.53300000000309</v>
      </c>
      <c r="K93" s="2851">
        <f>I93/BS!$F$30</f>
        <v>4.3671995165602794E-2</v>
      </c>
      <c r="L93" s="2851">
        <f>I93/'1-4.1'!$G$144</f>
        <v>7.6002372476271562E-2</v>
      </c>
      <c r="M93" s="2736"/>
      <c r="N93" s="2818">
        <f t="shared" si="13"/>
        <v>41.541853000000003</v>
      </c>
      <c r="O93" s="2818">
        <f t="shared" si="13"/>
        <v>40.68732</v>
      </c>
      <c r="P93" s="2818">
        <f t="shared" si="13"/>
        <v>-0.8545330000000031</v>
      </c>
    </row>
    <row r="94" spans="2:16" s="1704" customFormat="1">
      <c r="B94" s="2732" t="s">
        <v>1584</v>
      </c>
      <c r="C94" s="2725"/>
      <c r="D94" s="1728">
        <v>3000</v>
      </c>
      <c r="E94" s="1728">
        <v>130000</v>
      </c>
      <c r="F94" s="1728">
        <v>133000</v>
      </c>
      <c r="G94" s="1851">
        <f>D94+E94-F94</f>
        <v>0</v>
      </c>
      <c r="H94" s="2712">
        <v>0</v>
      </c>
      <c r="I94" s="2712">
        <v>0</v>
      </c>
      <c r="J94" s="1851">
        <f>I94-H94</f>
        <v>0</v>
      </c>
      <c r="K94" s="2851">
        <f>I94/BS!$F$30</f>
        <v>0</v>
      </c>
      <c r="L94" s="2851">
        <f>I94/'1-4.1'!$G$144</f>
        <v>0</v>
      </c>
      <c r="M94" s="2736"/>
      <c r="N94" s="2818">
        <f t="shared" si="13"/>
        <v>0</v>
      </c>
      <c r="O94" s="2818">
        <f t="shared" si="13"/>
        <v>0</v>
      </c>
      <c r="P94" s="2818">
        <f t="shared" si="13"/>
        <v>0</v>
      </c>
    </row>
    <row r="95" spans="2:16" s="1704" customFormat="1">
      <c r="B95" s="2732" t="s">
        <v>2508</v>
      </c>
      <c r="C95" s="2725"/>
      <c r="D95" s="1728">
        <v>0</v>
      </c>
      <c r="E95" s="1728">
        <v>355500</v>
      </c>
      <c r="F95" s="1728">
        <v>80500</v>
      </c>
      <c r="G95" s="1851">
        <f>D95+E95-F95</f>
        <v>275000</v>
      </c>
      <c r="H95" s="2712">
        <v>5091.8729999999996</v>
      </c>
      <c r="I95" s="2712">
        <v>4614.5</v>
      </c>
      <c r="J95" s="1851">
        <f>I95-H95</f>
        <v>-477.37299999999959</v>
      </c>
      <c r="K95" s="2851">
        <f>I95/BS!$F$30</f>
        <v>4.9530030901930649E-3</v>
      </c>
      <c r="L95" s="2851">
        <f>I95/'1-4.1'!$G$144</f>
        <v>8.6197111972908299E-3</v>
      </c>
      <c r="M95" s="2736"/>
      <c r="N95" s="2818">
        <f t="shared" si="13"/>
        <v>5.0918729999999996</v>
      </c>
      <c r="O95" s="2818">
        <f t="shared" si="13"/>
        <v>4.6144999999999996</v>
      </c>
      <c r="P95" s="2818">
        <f t="shared" si="13"/>
        <v>-0.4773729999999996</v>
      </c>
    </row>
    <row r="96" spans="2:16" s="1704" customFormat="1">
      <c r="B96" s="2732"/>
      <c r="C96" s="2725"/>
      <c r="D96" s="1728"/>
      <c r="E96" s="1728"/>
      <c r="F96" s="1728"/>
      <c r="G96" s="1851"/>
      <c r="H96" s="2712"/>
      <c r="I96" s="2712"/>
      <c r="J96" s="1851"/>
      <c r="K96" s="2851"/>
      <c r="L96" s="2851"/>
      <c r="M96" s="2736"/>
      <c r="N96" s="2155"/>
      <c r="O96" s="1789"/>
      <c r="P96" s="1789"/>
    </row>
    <row r="97" spans="1:22" s="1704" customFormat="1" ht="12.75" thickBot="1">
      <c r="B97" s="2732"/>
      <c r="C97" s="2725"/>
      <c r="D97" s="1728"/>
      <c r="E97" s="1728"/>
      <c r="F97" s="1728"/>
      <c r="G97" s="1851"/>
      <c r="H97" s="2468">
        <f>SUM(H92:H96)</f>
        <v>51784.548000000003</v>
      </c>
      <c r="I97" s="2468">
        <f>SUM(I92:I96)</f>
        <v>50218.27</v>
      </c>
      <c r="J97" s="2468">
        <f>SUM(J92:J96)</f>
        <v>-1566.278000000003</v>
      </c>
      <c r="K97" s="2853">
        <f>SUM(K94:K96)</f>
        <v>4.9530030901930649E-3</v>
      </c>
      <c r="L97" s="2853">
        <f>SUM(L94:L96)</f>
        <v>8.6197111972908299E-3</v>
      </c>
      <c r="M97" s="2736"/>
      <c r="N97" s="2155"/>
      <c r="O97" s="1789"/>
      <c r="P97" s="1789"/>
    </row>
    <row r="98" spans="1:22" s="1704" customFormat="1" ht="12.75" thickTop="1">
      <c r="B98" s="2726"/>
      <c r="C98" s="2725"/>
      <c r="D98" s="1728"/>
      <c r="E98" s="1728"/>
      <c r="F98" s="1728"/>
      <c r="G98" s="1728"/>
      <c r="H98" s="2712"/>
      <c r="I98" s="2712"/>
      <c r="J98" s="2712"/>
      <c r="K98" s="2860"/>
      <c r="L98" s="2860"/>
      <c r="M98" s="2736"/>
      <c r="N98" s="2155"/>
      <c r="O98" s="1789"/>
      <c r="P98" s="1789"/>
    </row>
    <row r="99" spans="1:22" s="1704" customFormat="1">
      <c r="B99" s="2724" t="s">
        <v>2370</v>
      </c>
      <c r="C99" s="2725"/>
      <c r="D99" s="1728"/>
      <c r="E99" s="1728"/>
      <c r="F99" s="1728"/>
      <c r="G99" s="1728"/>
      <c r="H99" s="2712"/>
      <c r="I99" s="2712"/>
      <c r="J99" s="2712"/>
      <c r="K99" s="2860"/>
      <c r="L99" s="2860"/>
      <c r="M99" s="2736"/>
      <c r="N99" s="2155"/>
      <c r="O99" s="2716"/>
      <c r="P99" s="1789"/>
    </row>
    <row r="100" spans="1:22" s="1704" customFormat="1">
      <c r="A100" s="2717" t="s">
        <v>1511</v>
      </c>
      <c r="B100" s="2728" t="s">
        <v>2371</v>
      </c>
      <c r="C100" s="2725"/>
      <c r="D100" s="1728">
        <v>108500</v>
      </c>
      <c r="E100" s="1728">
        <v>710000</v>
      </c>
      <c r="F100" s="1728">
        <v>515000</v>
      </c>
      <c r="G100" s="1851">
        <f>D100+E100-F100</f>
        <v>303500</v>
      </c>
      <c r="H100" s="2712">
        <v>37109.309000000001</v>
      </c>
      <c r="I100" s="2712">
        <v>37439.760000000002</v>
      </c>
      <c r="J100" s="1851">
        <f>I100-H100</f>
        <v>330.45100000000093</v>
      </c>
      <c r="K100" s="2851">
        <f>I100/BS!$F$30</f>
        <v>4.0186205867610077E-2</v>
      </c>
      <c r="L100" s="2851">
        <f>I100/'1-4.1'!$G$144</f>
        <v>6.9936053417679347E-2</v>
      </c>
      <c r="M100" s="2736"/>
      <c r="N100" s="2818">
        <f t="shared" ref="N100:P104" si="14">H100/1000</f>
        <v>37.109309000000003</v>
      </c>
      <c r="O100" s="2818">
        <f t="shared" si="14"/>
        <v>37.43976</v>
      </c>
      <c r="P100" s="2818">
        <f t="shared" si="14"/>
        <v>0.33045100000000094</v>
      </c>
    </row>
    <row r="101" spans="1:22" s="1704" customFormat="1">
      <c r="B101" s="2728" t="s">
        <v>2509</v>
      </c>
      <c r="C101" s="2725"/>
      <c r="D101" s="1728">
        <v>3400000</v>
      </c>
      <c r="E101" s="1728">
        <v>2045500</v>
      </c>
      <c r="F101" s="1728">
        <v>5445500</v>
      </c>
      <c r="G101" s="1851">
        <f>D101+E101-F101</f>
        <v>0</v>
      </c>
      <c r="H101" s="2712">
        <v>0</v>
      </c>
      <c r="I101" s="2712">
        <v>0</v>
      </c>
      <c r="J101" s="1851">
        <f>I101-H101</f>
        <v>0</v>
      </c>
      <c r="K101" s="2851">
        <f>I101/BS!$F$30</f>
        <v>0</v>
      </c>
      <c r="L101" s="2851">
        <f>I101/'1-4.1'!$G$144</f>
        <v>0</v>
      </c>
      <c r="M101" s="2736"/>
      <c r="N101" s="2818">
        <f t="shared" si="14"/>
        <v>0</v>
      </c>
      <c r="O101" s="2818">
        <f t="shared" si="14"/>
        <v>0</v>
      </c>
      <c r="P101" s="2818">
        <f t="shared" si="14"/>
        <v>0</v>
      </c>
    </row>
    <row r="102" spans="1:22" s="1704" customFormat="1">
      <c r="B102" s="2728" t="s">
        <v>2372</v>
      </c>
      <c r="C102" s="2725"/>
      <c r="D102" s="1728">
        <v>0</v>
      </c>
      <c r="E102" s="1728">
        <v>363000</v>
      </c>
      <c r="F102" s="1728">
        <v>250500</v>
      </c>
      <c r="G102" s="1851">
        <f>D102+E102-F102</f>
        <v>112500</v>
      </c>
      <c r="H102" s="2712">
        <v>16054.120999999999</v>
      </c>
      <c r="I102" s="2712">
        <v>14049</v>
      </c>
      <c r="J102" s="1851">
        <f>I102-H102</f>
        <v>-2005.1209999999992</v>
      </c>
      <c r="K102" s="2851">
        <f>I102/BS!$F$30</f>
        <v>1.5079584009995095E-2</v>
      </c>
      <c r="L102" s="2851">
        <f>I102/'1-4.1'!$G$144</f>
        <v>2.6242999807289821E-2</v>
      </c>
      <c r="M102" s="2736"/>
      <c r="N102" s="2818">
        <f t="shared" si="14"/>
        <v>16.054120999999999</v>
      </c>
      <c r="O102" s="2818">
        <f t="shared" si="14"/>
        <v>14.048999999999999</v>
      </c>
      <c r="P102" s="2818">
        <f t="shared" si="14"/>
        <v>-2.005120999999999</v>
      </c>
    </row>
    <row r="103" spans="1:22" s="1704" customFormat="1">
      <c r="B103" s="2728" t="s">
        <v>2510</v>
      </c>
      <c r="C103" s="2725"/>
      <c r="D103" s="1728">
        <v>16500</v>
      </c>
      <c r="E103" s="1728">
        <v>316500</v>
      </c>
      <c r="F103" s="1728">
        <v>218000</v>
      </c>
      <c r="G103" s="1851">
        <f>D103+E103-F103</f>
        <v>115000</v>
      </c>
      <c r="H103" s="2712">
        <v>1238.182</v>
      </c>
      <c r="I103" s="2712">
        <v>1076.4000000000001</v>
      </c>
      <c r="J103" s="1851">
        <f>I103-H103</f>
        <v>-161.78199999999993</v>
      </c>
      <c r="K103" s="2851">
        <f>I103/BS!$F$30</f>
        <v>1.1553608248529234E-3</v>
      </c>
      <c r="L103" s="2851">
        <f>I103/'1-4.1'!$G$144</f>
        <v>2.0106744246969014E-3</v>
      </c>
      <c r="M103" s="2736"/>
      <c r="N103" s="2818">
        <f t="shared" si="14"/>
        <v>1.2381820000000001</v>
      </c>
      <c r="O103" s="2818">
        <f t="shared" si="14"/>
        <v>1.0764</v>
      </c>
      <c r="P103" s="2818">
        <f t="shared" si="14"/>
        <v>-0.16178199999999993</v>
      </c>
    </row>
    <row r="104" spans="1:22" s="1704" customFormat="1">
      <c r="B104" s="2728" t="s">
        <v>2511</v>
      </c>
      <c r="C104" s="2725"/>
      <c r="D104" s="1728">
        <v>92000</v>
      </c>
      <c r="E104" s="1728">
        <v>602000</v>
      </c>
      <c r="F104" s="1728">
        <v>494000</v>
      </c>
      <c r="G104" s="1851">
        <f>D104+E104-F104</f>
        <v>200000</v>
      </c>
      <c r="H104" s="2712">
        <v>33371.440000000002</v>
      </c>
      <c r="I104" s="2712">
        <v>32334</v>
      </c>
      <c r="J104" s="1851">
        <f>I104-H104</f>
        <v>-1037.4400000000023</v>
      </c>
      <c r="K104" s="2851">
        <f>I104/BS!$F$30</f>
        <v>3.4705905714227443E-2</v>
      </c>
      <c r="L104" s="2851">
        <f>I104/'1-4.1'!$G$144</f>
        <v>6.0398687149897434E-2</v>
      </c>
      <c r="M104" s="2736"/>
      <c r="N104" s="2818">
        <f t="shared" si="14"/>
        <v>33.37144</v>
      </c>
      <c r="O104" s="2818">
        <f t="shared" si="14"/>
        <v>32.334000000000003</v>
      </c>
      <c r="P104" s="2818">
        <f t="shared" si="14"/>
        <v>-1.0374400000000024</v>
      </c>
    </row>
    <row r="105" spans="1:22" s="1704" customFormat="1">
      <c r="B105" s="2726"/>
      <c r="C105" s="2725"/>
      <c r="D105" s="1728"/>
      <c r="E105" s="1728"/>
      <c r="F105" s="1728"/>
      <c r="G105" s="1851"/>
      <c r="H105" s="2712"/>
      <c r="I105" s="2712"/>
      <c r="J105" s="1851"/>
      <c r="K105" s="2851"/>
      <c r="L105" s="2851"/>
      <c r="M105" s="2736"/>
      <c r="N105" s="2155"/>
      <c r="O105" s="1789"/>
      <c r="P105" s="1789"/>
    </row>
    <row r="106" spans="1:22" s="1704" customFormat="1" ht="12.75" thickBot="1">
      <c r="B106" s="2726"/>
      <c r="C106" s="2725"/>
      <c r="D106" s="1728"/>
      <c r="E106" s="1728"/>
      <c r="F106" s="1728"/>
      <c r="G106" s="1851"/>
      <c r="H106" s="2468">
        <f>SUM(H100:H105)</f>
        <v>87773.051999999996</v>
      </c>
      <c r="I106" s="2468">
        <f>SUM(I100:I105)</f>
        <v>84899.16</v>
      </c>
      <c r="J106" s="2468">
        <f>SUM(J100:J105)</f>
        <v>-2873.8920000000007</v>
      </c>
      <c r="K106" s="2853">
        <f>SUM(K100:K105)</f>
        <v>9.1127056416685531E-2</v>
      </c>
      <c r="L106" s="2853">
        <f>SUM(L100:L105)</f>
        <v>0.15858841479956351</v>
      </c>
      <c r="M106" s="2736"/>
      <c r="N106" s="2155"/>
      <c r="O106" s="1789"/>
      <c r="P106" s="1789"/>
    </row>
    <row r="107" spans="1:22" s="1704" customFormat="1" ht="12.75" thickTop="1">
      <c r="B107" s="2726"/>
      <c r="C107" s="2725"/>
      <c r="D107" s="1728"/>
      <c r="E107" s="1728"/>
      <c r="F107" s="1728"/>
      <c r="G107" s="1728"/>
      <c r="H107" s="2712"/>
      <c r="I107" s="2712"/>
      <c r="J107" s="2712"/>
      <c r="K107" s="2860"/>
      <c r="L107" s="2860"/>
      <c r="M107" s="2736"/>
      <c r="N107" s="2155"/>
      <c r="O107" s="1789"/>
      <c r="P107" s="1789"/>
    </row>
    <row r="108" spans="1:22" s="1704" customFormat="1">
      <c r="B108" s="2724" t="s">
        <v>2373</v>
      </c>
      <c r="C108" s="2725"/>
      <c r="D108" s="1728"/>
      <c r="E108" s="1728"/>
      <c r="F108" s="1728"/>
      <c r="G108" s="1851"/>
      <c r="H108" s="2712"/>
      <c r="I108" s="2712"/>
      <c r="J108" s="2712"/>
      <c r="K108" s="2860"/>
      <c r="L108" s="2860"/>
      <c r="M108" s="2736"/>
      <c r="N108" s="2155"/>
      <c r="O108" s="1789"/>
      <c r="P108" s="1789"/>
    </row>
    <row r="109" spans="1:22" s="1704" customFormat="1">
      <c r="B109" s="2721" t="s">
        <v>1585</v>
      </c>
      <c r="C109" s="2725"/>
      <c r="D109" s="1728">
        <v>26500</v>
      </c>
      <c r="E109" s="1728">
        <v>56500</v>
      </c>
      <c r="F109" s="1728">
        <v>74500</v>
      </c>
      <c r="G109" s="1851">
        <f>D109+E109-F109</f>
        <v>8500</v>
      </c>
      <c r="H109" s="2712">
        <v>478.2</v>
      </c>
      <c r="I109" s="2712">
        <v>465.88499999999999</v>
      </c>
      <c r="J109" s="1851">
        <f>I109-H109</f>
        <v>-12.314999999999998</v>
      </c>
      <c r="K109" s="2851">
        <f>I109/BS!$F$30</f>
        <v>5.000606446363844E-4</v>
      </c>
      <c r="L109" s="2851">
        <f>I109/'1-4.1'!$G$144</f>
        <v>8.702555317260458E-4</v>
      </c>
      <c r="M109" s="2736"/>
      <c r="N109" s="2818">
        <f t="shared" ref="N109:P111" si="15">H109/1000</f>
        <v>0.47820000000000001</v>
      </c>
      <c r="O109" s="2818">
        <f t="shared" si="15"/>
        <v>0.46588499999999999</v>
      </c>
      <c r="P109" s="2818">
        <f t="shared" si="15"/>
        <v>-1.2314999999999998E-2</v>
      </c>
      <c r="Q109" s="2155"/>
      <c r="R109" s="2155"/>
      <c r="S109" s="2155"/>
      <c r="T109" s="2155"/>
      <c r="U109" s="2155"/>
      <c r="V109" s="2155"/>
    </row>
    <row r="110" spans="1:22" s="1704" customFormat="1">
      <c r="B110" s="2721" t="s">
        <v>2374</v>
      </c>
      <c r="C110" s="2725"/>
      <c r="D110" s="1728">
        <v>0</v>
      </c>
      <c r="E110" s="1728">
        <v>847500</v>
      </c>
      <c r="F110" s="1728">
        <v>147000</v>
      </c>
      <c r="G110" s="1851">
        <f>D110+E110-F110</f>
        <v>700500</v>
      </c>
      <c r="H110" s="2712">
        <v>35038.169000000002</v>
      </c>
      <c r="I110" s="2712">
        <v>34688.76</v>
      </c>
      <c r="J110" s="1851">
        <f>I110-H110</f>
        <v>-349.40899999999965</v>
      </c>
      <c r="K110" s="2851">
        <f>I110/BS!$F$30</f>
        <v>3.7233402421706703E-2</v>
      </c>
      <c r="L110" s="2851">
        <f>I110/'1-4.1'!$G$144</f>
        <v>6.4797289628807944E-2</v>
      </c>
      <c r="M110" s="2736"/>
      <c r="N110" s="2818">
        <f t="shared" si="15"/>
        <v>35.038169000000003</v>
      </c>
      <c r="O110" s="2818">
        <f t="shared" si="15"/>
        <v>34.688760000000002</v>
      </c>
      <c r="P110" s="2818">
        <f t="shared" si="15"/>
        <v>-0.34940899999999964</v>
      </c>
    </row>
    <row r="111" spans="1:22" s="1704" customFormat="1">
      <c r="B111" s="2721" t="s">
        <v>1520</v>
      </c>
      <c r="C111" s="2725"/>
      <c r="D111" s="1728">
        <v>0</v>
      </c>
      <c r="E111" s="1728">
        <v>15500</v>
      </c>
      <c r="F111" s="1728">
        <v>15000</v>
      </c>
      <c r="G111" s="1851">
        <f>D111+E111-F111</f>
        <v>500</v>
      </c>
      <c r="H111" s="2712">
        <v>48.301000000000002</v>
      </c>
      <c r="I111" s="2712">
        <v>45.43</v>
      </c>
      <c r="J111" s="1851">
        <f>I111-H111</f>
        <v>-2.8710000000000022</v>
      </c>
      <c r="K111" s="2851">
        <f>I111/BS!$F$30</f>
        <v>4.8762581078658774E-5</v>
      </c>
      <c r="L111" s="2851">
        <f>I111/'1-4.1'!$G$144</f>
        <v>8.4861519057952638E-5</v>
      </c>
      <c r="M111" s="2736"/>
      <c r="N111" s="2818">
        <f t="shared" si="15"/>
        <v>4.8301000000000004E-2</v>
      </c>
      <c r="O111" s="2818">
        <f t="shared" si="15"/>
        <v>4.5429999999999998E-2</v>
      </c>
      <c r="P111" s="2818">
        <f t="shared" si="15"/>
        <v>-2.871000000000002E-3</v>
      </c>
    </row>
    <row r="112" spans="1:22" s="1704" customFormat="1">
      <c r="B112" s="2721"/>
      <c r="C112" s="2725"/>
      <c r="D112" s="1728"/>
      <c r="E112" s="1728"/>
      <c r="F112" s="1728"/>
      <c r="G112" s="1851"/>
      <c r="H112" s="2712"/>
      <c r="I112" s="2712"/>
      <c r="J112" s="1851"/>
      <c r="K112" s="2851"/>
      <c r="L112" s="2851"/>
      <c r="M112" s="2736"/>
      <c r="N112" s="2155"/>
      <c r="O112" s="2817"/>
      <c r="P112" s="1789"/>
    </row>
    <row r="113" spans="2:16" s="1704" customFormat="1" ht="12.75" thickBot="1">
      <c r="B113" s="2726"/>
      <c r="C113" s="2725"/>
      <c r="D113" s="1728"/>
      <c r="E113" s="1728"/>
      <c r="F113" s="1728"/>
      <c r="G113" s="1728"/>
      <c r="H113" s="2468">
        <f>SUM(H109:H111)</f>
        <v>35564.67</v>
      </c>
      <c r="I113" s="2468">
        <f>SUM(I109:I111)</f>
        <v>35200.075000000004</v>
      </c>
      <c r="J113" s="2468">
        <f>SUM(J109:J111)</f>
        <v>-364.59499999999963</v>
      </c>
      <c r="K113" s="2853">
        <f>SUM(K109:K111)</f>
        <v>3.7782225647421744E-2</v>
      </c>
      <c r="L113" s="2853">
        <f>SUM(L109:L111)</f>
        <v>6.5752406679591952E-2</v>
      </c>
      <c r="M113" s="2736"/>
      <c r="N113" s="2155"/>
      <c r="O113" s="1789"/>
      <c r="P113" s="1789"/>
    </row>
    <row r="114" spans="2:16" s="1704" customFormat="1" ht="12.75" thickTop="1">
      <c r="B114" s="2726"/>
      <c r="C114" s="2725"/>
      <c r="D114" s="1728"/>
      <c r="E114" s="1728"/>
      <c r="F114" s="1728"/>
      <c r="G114" s="1728"/>
      <c r="H114" s="2719"/>
      <c r="I114" s="2719"/>
      <c r="J114" s="2719"/>
      <c r="K114" s="2860"/>
      <c r="L114" s="2860"/>
      <c r="M114" s="2736"/>
      <c r="N114" s="2155"/>
      <c r="O114" s="1789"/>
      <c r="P114" s="1789"/>
    </row>
    <row r="115" spans="2:16" s="1704" customFormat="1">
      <c r="B115" s="2727" t="s">
        <v>2375</v>
      </c>
      <c r="C115" s="2725"/>
      <c r="D115" s="1728"/>
      <c r="E115" s="1728"/>
      <c r="F115" s="1728"/>
      <c r="G115" s="1728"/>
      <c r="H115" s="2712"/>
      <c r="I115" s="2712"/>
      <c r="J115" s="2712"/>
      <c r="K115" s="2860"/>
      <c r="L115" s="2860"/>
      <c r="M115" s="2736"/>
      <c r="N115" s="2155"/>
      <c r="O115" s="1789"/>
      <c r="P115" s="1789"/>
    </row>
    <row r="116" spans="2:16" s="1704" customFormat="1">
      <c r="B116" s="2722" t="s">
        <v>2376</v>
      </c>
      <c r="C116" s="2725"/>
      <c r="D116" s="1728">
        <v>39000</v>
      </c>
      <c r="E116" s="1728">
        <v>670500</v>
      </c>
      <c r="F116" s="1728">
        <v>667500</v>
      </c>
      <c r="G116" s="1851">
        <f>D116+E116-F116</f>
        <v>42000</v>
      </c>
      <c r="H116" s="2712">
        <v>449.78199999999998</v>
      </c>
      <c r="I116" s="2712">
        <v>374.22</v>
      </c>
      <c r="J116" s="1851">
        <f>I116-H116</f>
        <v>-75.561999999999955</v>
      </c>
      <c r="K116" s="2851">
        <f>I116/BS!$F$30</f>
        <v>4.0167143058013842E-4</v>
      </c>
      <c r="L116" s="2851">
        <f>I116/'1-4.1'!$G$144</f>
        <v>6.9902878410449127E-4</v>
      </c>
      <c r="M116" s="2736"/>
      <c r="N116" s="2818">
        <f>H116/1000</f>
        <v>0.44978199999999996</v>
      </c>
      <c r="O116" s="2818">
        <f>I116/1000</f>
        <v>0.37422000000000005</v>
      </c>
      <c r="P116" s="2818">
        <f>J116/1000</f>
        <v>-7.5561999999999949E-2</v>
      </c>
    </row>
    <row r="117" spans="2:16" s="1704" customFormat="1" ht="12.75" thickBot="1">
      <c r="B117" s="2722"/>
      <c r="C117" s="2725"/>
      <c r="D117" s="1728"/>
      <c r="E117" s="1728"/>
      <c r="F117" s="1728"/>
      <c r="G117" s="1851"/>
      <c r="H117" s="2468">
        <f>SUM(H116)</f>
        <v>449.78199999999998</v>
      </c>
      <c r="I117" s="2468">
        <f>SUM(I116)</f>
        <v>374.22</v>
      </c>
      <c r="J117" s="2468">
        <f>SUM(J116)</f>
        <v>-75.561999999999955</v>
      </c>
      <c r="K117" s="2853">
        <f>SUM(K116)</f>
        <v>4.0167143058013842E-4</v>
      </c>
      <c r="L117" s="2853">
        <f>SUM(L116)</f>
        <v>6.9902878410449127E-4</v>
      </c>
      <c r="M117" s="2736"/>
      <c r="N117" s="2155"/>
      <c r="O117" s="1789"/>
      <c r="P117" s="1789"/>
    </row>
    <row r="118" spans="2:16" s="1704" customFormat="1" ht="12.75" thickTop="1">
      <c r="B118" s="1573"/>
      <c r="C118" s="2725"/>
      <c r="D118" s="1728"/>
      <c r="E118" s="1573"/>
      <c r="F118" s="1573"/>
      <c r="G118" s="1573"/>
      <c r="H118" s="1573"/>
      <c r="I118" s="1573"/>
      <c r="J118" s="2712"/>
      <c r="K118" s="2860"/>
      <c r="L118" s="2860"/>
      <c r="M118" s="2736"/>
      <c r="N118" s="2155"/>
      <c r="O118" s="1789"/>
      <c r="P118" s="1789"/>
    </row>
    <row r="119" spans="2:16" s="1704" customFormat="1">
      <c r="B119" s="2727" t="s">
        <v>2512</v>
      </c>
      <c r="C119" s="2725"/>
      <c r="D119" s="1728"/>
      <c r="E119" s="1728"/>
      <c r="F119" s="1728"/>
      <c r="G119" s="1851"/>
      <c r="H119" s="2712"/>
      <c r="I119" s="2712"/>
      <c r="J119" s="2714"/>
      <c r="K119" s="2861"/>
      <c r="L119" s="2861"/>
      <c r="M119" s="2736"/>
      <c r="N119" s="2155"/>
      <c r="O119" s="1789"/>
      <c r="P119" s="1789"/>
    </row>
    <row r="120" spans="2:16" s="1704" customFormat="1">
      <c r="B120" s="2732" t="s">
        <v>2513</v>
      </c>
      <c r="C120" s="2725"/>
      <c r="D120" s="1728">
        <v>0</v>
      </c>
      <c r="E120" s="1728">
        <v>235000</v>
      </c>
      <c r="F120" s="1728">
        <v>221500</v>
      </c>
      <c r="G120" s="1851">
        <f>D120+E120-F120</f>
        <v>13500</v>
      </c>
      <c r="H120" s="2712">
        <v>226.89699999999999</v>
      </c>
      <c r="I120" s="2712">
        <v>166.59</v>
      </c>
      <c r="J120" s="1851">
        <f>I120-H120</f>
        <v>-60.306999999999988</v>
      </c>
      <c r="K120" s="2851">
        <f>I120/BS!$F$30</f>
        <v>1.7881044204036466E-4</v>
      </c>
      <c r="L120" s="2851">
        <f>I120/'1-4.1'!$G$144</f>
        <v>3.1118380937407723E-4</v>
      </c>
      <c r="M120" s="2736"/>
      <c r="N120" s="2818">
        <f>H120/1000</f>
        <v>0.22689699999999999</v>
      </c>
      <c r="O120" s="2818">
        <f>I120/1000</f>
        <v>0.16659000000000002</v>
      </c>
      <c r="P120" s="2818">
        <f>J120/1000</f>
        <v>-6.0306999999999986E-2</v>
      </c>
    </row>
    <row r="121" spans="2:16" s="1704" customFormat="1" ht="12.75" thickBot="1">
      <c r="B121" s="2726"/>
      <c r="C121" s="2725"/>
      <c r="D121" s="1728"/>
      <c r="E121" s="1728"/>
      <c r="F121" s="1728"/>
      <c r="G121" s="1851"/>
      <c r="H121" s="2468">
        <f>SUM(H120)</f>
        <v>226.89699999999999</v>
      </c>
      <c r="I121" s="2468">
        <f>SUM(I120)</f>
        <v>166.59</v>
      </c>
      <c r="J121" s="2468">
        <f>SUM(J120)</f>
        <v>-60.306999999999988</v>
      </c>
      <c r="K121" s="2853">
        <f>SUM(K120)</f>
        <v>1.7881044204036466E-4</v>
      </c>
      <c r="L121" s="2853">
        <f>SUM(L120)</f>
        <v>3.1118380937407723E-4</v>
      </c>
      <c r="M121" s="2736"/>
      <c r="N121" s="2155"/>
      <c r="O121" s="1789"/>
      <c r="P121" s="1789"/>
    </row>
    <row r="122" spans="2:16" s="1704" customFormat="1" ht="12.75" thickTop="1">
      <c r="B122" s="2725"/>
      <c r="C122" s="2725"/>
      <c r="D122" s="1728"/>
      <c r="E122" s="1728"/>
      <c r="F122" s="1728"/>
      <c r="G122" s="1728"/>
      <c r="H122" s="2714"/>
      <c r="I122" s="2714"/>
      <c r="J122" s="2714"/>
      <c r="K122" s="2861"/>
      <c r="L122" s="2861"/>
      <c r="M122" s="2736"/>
      <c r="N122" s="2155"/>
      <c r="O122" s="1789"/>
      <c r="P122" s="1789"/>
    </row>
    <row r="123" spans="2:16" s="1704" customFormat="1" ht="12.75" thickBot="1">
      <c r="B123" s="1572" t="s">
        <v>2491</v>
      </c>
      <c r="C123" s="2725"/>
      <c r="D123" s="2725"/>
      <c r="E123" s="2725"/>
      <c r="F123" s="2725"/>
      <c r="G123" s="2725"/>
      <c r="H123" s="2468">
        <f>H121+H117+H113+H106+H97+H89+H83+H79+H73+H67+H63+H57+H51+H42+H35+H25+H20</f>
        <v>356625.90100000001</v>
      </c>
      <c r="I123" s="2468">
        <f>I121+I117+I113+I106+I97+I89+I83+I79+I73+I67+I63+I57+I51+I42+I35+I25+I20</f>
        <v>339399.76</v>
      </c>
      <c r="J123" s="2468">
        <f>J121+J117+J113+J106+J97+J89+J83+J79+J73+J67+J63+J57+J51+J42+J35+J25+J20</f>
        <v>-17226.141000000007</v>
      </c>
      <c r="K123" s="2862"/>
      <c r="L123" s="2862"/>
      <c r="M123" s="2736"/>
      <c r="N123" s="2155"/>
      <c r="O123" s="1789"/>
      <c r="P123" s="1789"/>
    </row>
    <row r="124" spans="2:16" s="1704" customFormat="1" ht="12.75" thickTop="1">
      <c r="B124" s="1572"/>
      <c r="C124" s="2725"/>
      <c r="D124" s="2725"/>
      <c r="E124" s="2725"/>
      <c r="F124" s="2725"/>
      <c r="G124" s="2725"/>
      <c r="H124" s="2719"/>
      <c r="I124" s="2719"/>
      <c r="J124" s="2719"/>
      <c r="K124" s="2862"/>
      <c r="L124" s="2862"/>
      <c r="M124" s="2736"/>
      <c r="N124" s="2155"/>
      <c r="O124" s="1789"/>
      <c r="P124" s="1789"/>
    </row>
    <row r="125" spans="2:16" s="1704" customFormat="1" ht="12.75" thickBot="1">
      <c r="B125" s="2718" t="s">
        <v>2492</v>
      </c>
      <c r="C125" s="2725"/>
      <c r="D125" s="2725"/>
      <c r="E125" s="2725"/>
      <c r="F125" s="2725"/>
      <c r="G125" s="2725"/>
      <c r="H125" s="2468">
        <v>238683</v>
      </c>
      <c r="I125" s="2468">
        <v>236537</v>
      </c>
      <c r="J125" s="2468">
        <f>I125-H125</f>
        <v>-2146</v>
      </c>
      <c r="K125" s="2862"/>
      <c r="L125" s="2862"/>
      <c r="M125" s="2736"/>
      <c r="N125" s="2155"/>
      <c r="O125" s="1789"/>
      <c r="P125" s="1789"/>
    </row>
    <row r="126" spans="2:16" ht="12.75" thickTop="1">
      <c r="B126" s="2733"/>
      <c r="C126" s="1810"/>
      <c r="D126" s="1623"/>
      <c r="E126" s="1623"/>
      <c r="F126" s="1623"/>
      <c r="G126" s="1623"/>
      <c r="H126" s="2712"/>
      <c r="I126" s="2712"/>
      <c r="J126" s="2712"/>
      <c r="K126" s="2863"/>
      <c r="L126" s="2863"/>
    </row>
    <row r="127" spans="2:16" s="2745" customFormat="1" ht="15">
      <c r="B127" s="2746" t="s">
        <v>2382</v>
      </c>
      <c r="C127" s="1810"/>
      <c r="D127" s="1623"/>
      <c r="E127" s="1623"/>
      <c r="F127" s="1623"/>
      <c r="G127" s="1623"/>
      <c r="H127" s="2712"/>
      <c r="I127" s="2712"/>
      <c r="J127" s="2712"/>
      <c r="K127" s="2863"/>
      <c r="L127" s="2863"/>
      <c r="M127" s="2738"/>
      <c r="N127" s="2155"/>
    </row>
    <row r="128" spans="2:16">
      <c r="B128" s="1761"/>
      <c r="H128" s="2419"/>
      <c r="I128" s="2419"/>
      <c r="J128" s="2419"/>
      <c r="K128" s="2864"/>
      <c r="L128" s="2864"/>
    </row>
    <row r="129" spans="1:13">
      <c r="H129" s="2419"/>
      <c r="I129" s="2419"/>
      <c r="J129" s="2419"/>
      <c r="K129" s="2864"/>
      <c r="L129" s="2864"/>
    </row>
    <row r="130" spans="1:13">
      <c r="A130" s="1743" t="s">
        <v>2383</v>
      </c>
      <c r="B130" s="2966" t="s">
        <v>2384</v>
      </c>
      <c r="C130" s="2966"/>
      <c r="D130" s="2966"/>
      <c r="E130" s="2966"/>
      <c r="F130" s="2966"/>
      <c r="G130" s="2966"/>
      <c r="H130" s="2966"/>
      <c r="I130" s="2966"/>
      <c r="J130" s="2966"/>
      <c r="K130" s="2966"/>
      <c r="L130" s="2966"/>
      <c r="M130" s="2966"/>
    </row>
    <row r="131" spans="1:13">
      <c r="B131" s="2966"/>
      <c r="C131" s="2966"/>
      <c r="D131" s="2966"/>
      <c r="E131" s="2966"/>
      <c r="F131" s="2966"/>
      <c r="G131" s="2966"/>
      <c r="H131" s="2966"/>
      <c r="I131" s="2966"/>
      <c r="J131" s="2966"/>
      <c r="K131" s="2966"/>
      <c r="L131" s="2966"/>
      <c r="M131" s="2966"/>
    </row>
    <row r="132" spans="1:13">
      <c r="B132" s="2966"/>
      <c r="C132" s="2966"/>
      <c r="D132" s="2966"/>
      <c r="E132" s="2966"/>
      <c r="F132" s="2966"/>
      <c r="G132" s="2966"/>
      <c r="H132" s="2966"/>
      <c r="I132" s="2966"/>
      <c r="J132" s="2966"/>
      <c r="K132" s="2966"/>
      <c r="L132" s="2966"/>
      <c r="M132" s="2966"/>
    </row>
    <row r="133" spans="1:13">
      <c r="H133" s="2419"/>
      <c r="I133" s="2419"/>
      <c r="J133" s="2419"/>
      <c r="K133" s="2864"/>
      <c r="L133" s="2864"/>
    </row>
    <row r="134" spans="1:13">
      <c r="H134" s="2419"/>
      <c r="I134" s="2419"/>
      <c r="J134" s="2419"/>
      <c r="K134" s="2864"/>
      <c r="L134" s="2864"/>
    </row>
    <row r="135" spans="1:13">
      <c r="H135" s="2419"/>
      <c r="I135" s="2419"/>
      <c r="J135" s="2419"/>
      <c r="K135" s="2864"/>
      <c r="L135" s="2864"/>
    </row>
    <row r="136" spans="1:13">
      <c r="H136" s="2419"/>
      <c r="I136" s="2419"/>
      <c r="J136" s="2419"/>
      <c r="K136" s="2864"/>
      <c r="L136" s="2864"/>
    </row>
    <row r="137" spans="1:13">
      <c r="H137" s="2419"/>
      <c r="I137" s="2419"/>
      <c r="J137" s="2419"/>
      <c r="K137" s="2864"/>
      <c r="L137" s="2864"/>
    </row>
  </sheetData>
  <mergeCells count="17">
    <mergeCell ref="G4:G11"/>
    <mergeCell ref="M4:M11"/>
    <mergeCell ref="K12:L12"/>
    <mergeCell ref="B130:M132"/>
    <mergeCell ref="B4:C11"/>
    <mergeCell ref="N4:N9"/>
    <mergeCell ref="H5:H11"/>
    <mergeCell ref="I5:I11"/>
    <mergeCell ref="J5:J11"/>
    <mergeCell ref="D12:G12"/>
    <mergeCell ref="H12:J12"/>
    <mergeCell ref="H4:J4"/>
    <mergeCell ref="K4:K11"/>
    <mergeCell ref="L4:L11"/>
    <mergeCell ref="D4:D11"/>
    <mergeCell ref="E4:E11"/>
    <mergeCell ref="F4:F11"/>
  </mergeCells>
  <pageMargins left="0.7" right="0.7" top="0.64" bottom="0.27" header="0.3" footer="0.23"/>
  <pageSetup scale="31" fitToHeight="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R35"/>
  <sheetViews>
    <sheetView showGridLines="0" workbookViewId="0">
      <selection activeCell="A154" sqref="A154"/>
    </sheetView>
  </sheetViews>
  <sheetFormatPr defaultColWidth="8" defaultRowHeight="12"/>
  <cols>
    <col min="1" max="1" width="5.125" style="1918" customWidth="1"/>
    <col min="2" max="2" width="18.875" style="1918" customWidth="1"/>
    <col min="3" max="3" width="16.375" style="1918" customWidth="1"/>
    <col min="4" max="4" width="10.625" style="1918" customWidth="1"/>
    <col min="5" max="5" width="7.75" style="1918" hidden="1" customWidth="1"/>
    <col min="6" max="6" width="7" style="1918" hidden="1" customWidth="1"/>
    <col min="7" max="7" width="8.5" style="1918" customWidth="1"/>
    <col min="8" max="8" width="8.75" style="1918" customWidth="1"/>
    <col min="9" max="9" width="6.625" style="1918" customWidth="1"/>
    <col min="10" max="10" width="6.5" style="1918" customWidth="1"/>
    <col min="11" max="12" width="7" style="1918" customWidth="1"/>
    <col min="13" max="13" width="7.75" style="1918" customWidth="1"/>
    <col min="14" max="14" width="9" style="1918" customWidth="1"/>
    <col min="15" max="15" width="12.75" style="1918" customWidth="1"/>
    <col min="16" max="16" width="12" style="1918" customWidth="1"/>
    <col min="17" max="17" width="7.625" style="1918" customWidth="1"/>
    <col min="18" max="18" width="12.25" style="1918" customWidth="1"/>
    <col min="19" max="23" width="13.75" style="1918" customWidth="1"/>
    <col min="24" max="24" width="7.625" style="1918" customWidth="1"/>
    <col min="25" max="16384" width="8" style="1918"/>
  </cols>
  <sheetData>
    <row r="2" spans="1:15" s="1675" customFormat="1">
      <c r="A2" s="1816"/>
    </row>
    <row r="3" spans="1:15" s="1727" customFormat="1"/>
    <row r="4" spans="1:15" s="2075" customFormat="1" ht="12.75" customHeight="1">
      <c r="B4" s="3050" t="s">
        <v>1881</v>
      </c>
      <c r="C4" s="3052" t="s">
        <v>1738</v>
      </c>
      <c r="D4" s="3054" t="s">
        <v>850</v>
      </c>
      <c r="E4" s="3055"/>
      <c r="F4" s="3055"/>
      <c r="G4" s="3055"/>
      <c r="H4" s="3055"/>
      <c r="I4" s="3056"/>
      <c r="J4" s="3058" t="s">
        <v>2483</v>
      </c>
      <c r="K4" s="3058"/>
      <c r="L4" s="3058"/>
      <c r="M4" s="3047" t="s">
        <v>2166</v>
      </c>
      <c r="N4" s="3049" t="s">
        <v>2167</v>
      </c>
      <c r="O4" s="2101"/>
    </row>
    <row r="5" spans="1:15" s="2076" customFormat="1" ht="79.5" customHeight="1">
      <c r="B5" s="3051"/>
      <c r="C5" s="3053"/>
      <c r="D5" s="2295" t="s">
        <v>2484</v>
      </c>
      <c r="E5" s="2295"/>
      <c r="F5" s="2295"/>
      <c r="G5" s="2295" t="s">
        <v>1773</v>
      </c>
      <c r="H5" s="2295" t="s">
        <v>1946</v>
      </c>
      <c r="I5" s="2295" t="s">
        <v>2483</v>
      </c>
      <c r="J5" s="2295" t="s">
        <v>853</v>
      </c>
      <c r="K5" s="2295" t="s">
        <v>2114</v>
      </c>
      <c r="L5" s="2295" t="s">
        <v>2115</v>
      </c>
      <c r="M5" s="3048"/>
      <c r="N5" s="3049"/>
      <c r="O5" s="2101"/>
    </row>
    <row r="6" spans="1:15" s="1995" customFormat="1" ht="12.75">
      <c r="B6" s="2237"/>
      <c r="C6" s="2237"/>
      <c r="D6" s="3057" t="s">
        <v>856</v>
      </c>
      <c r="E6" s="3057"/>
      <c r="F6" s="3057"/>
      <c r="G6" s="3057"/>
      <c r="H6" s="3057"/>
      <c r="I6" s="3057"/>
      <c r="J6" s="2238"/>
      <c r="K6" s="2238"/>
      <c r="L6" s="2238"/>
      <c r="M6" s="3045" t="s">
        <v>857</v>
      </c>
      <c r="N6" s="3046"/>
      <c r="O6" s="2074"/>
    </row>
    <row r="7" spans="1:15" s="2028" customFormat="1" ht="11.25">
      <c r="B7" s="2030" t="s">
        <v>1880</v>
      </c>
      <c r="C7" s="2031"/>
      <c r="D7" s="2032"/>
      <c r="E7" s="2032"/>
      <c r="F7" s="2032"/>
      <c r="G7" s="2032"/>
      <c r="H7" s="2032"/>
      <c r="I7" s="2032"/>
    </row>
    <row r="8" spans="1:15" s="2028" customFormat="1" ht="11.25">
      <c r="B8" s="2030"/>
      <c r="C8" s="2813">
        <v>44308</v>
      </c>
      <c r="D8" s="2032">
        <v>75000</v>
      </c>
      <c r="E8" s="2032"/>
      <c r="F8" s="2032"/>
      <c r="G8" s="2032">
        <v>0</v>
      </c>
      <c r="H8" s="2032">
        <v>75000</v>
      </c>
      <c r="I8" s="2032">
        <f>D8+G8-H8</f>
        <v>0</v>
      </c>
      <c r="J8" s="2034">
        <v>0</v>
      </c>
      <c r="K8" s="2035">
        <v>0</v>
      </c>
      <c r="L8" s="2034">
        <f t="shared" ref="L8:L15" si="0">K8-J8</f>
        <v>0</v>
      </c>
      <c r="M8" s="2036">
        <f>K8/'5.3.1'!$Q$49*100</f>
        <v>0</v>
      </c>
      <c r="N8" s="2036">
        <f>K8/'5.3.1'!$Q$50*100</f>
        <v>0</v>
      </c>
    </row>
    <row r="9" spans="1:15" s="2028" customFormat="1" ht="11.25">
      <c r="B9" s="2030"/>
      <c r="C9" s="2813">
        <v>44350</v>
      </c>
      <c r="D9" s="2032"/>
      <c r="E9" s="2032"/>
      <c r="F9" s="2032"/>
      <c r="G9" s="2032">
        <v>30000</v>
      </c>
      <c r="H9" s="2032">
        <v>30000</v>
      </c>
      <c r="I9" s="2032">
        <f t="shared" ref="I9:I15" si="1">G9-H9</f>
        <v>0</v>
      </c>
      <c r="J9" s="2034">
        <v>0</v>
      </c>
      <c r="K9" s="2035">
        <v>0</v>
      </c>
      <c r="L9" s="2034">
        <f t="shared" si="0"/>
        <v>0</v>
      </c>
      <c r="M9" s="2036">
        <f>K9/'5.3.1'!$Q$49*100</f>
        <v>0</v>
      </c>
      <c r="N9" s="2036">
        <f>K9/'5.3.1'!$Q$50*100</f>
        <v>0</v>
      </c>
    </row>
    <row r="10" spans="1:15" s="2028" customFormat="1" ht="11.25">
      <c r="B10" s="2033"/>
      <c r="C10" s="2813">
        <v>44379</v>
      </c>
      <c r="D10" s="2032">
        <v>0</v>
      </c>
      <c r="E10" s="2032"/>
      <c r="F10" s="2032"/>
      <c r="G10" s="2032">
        <v>535000</v>
      </c>
      <c r="H10" s="2032">
        <v>535000</v>
      </c>
      <c r="I10" s="2032">
        <f t="shared" si="1"/>
        <v>0</v>
      </c>
      <c r="J10" s="2034">
        <v>0</v>
      </c>
      <c r="K10" s="2035">
        <v>0</v>
      </c>
      <c r="L10" s="2034">
        <f t="shared" si="0"/>
        <v>0</v>
      </c>
      <c r="M10" s="2036">
        <f>K10/'5.3.1'!$Q$49*100</f>
        <v>0</v>
      </c>
      <c r="N10" s="2036">
        <f>K10/'5.3.1'!$Q$50*100</f>
        <v>0</v>
      </c>
      <c r="O10" s="2036"/>
    </row>
    <row r="11" spans="1:15" s="2028" customFormat="1" ht="11.25">
      <c r="B11" s="2033"/>
      <c r="C11" s="2813">
        <v>44392</v>
      </c>
      <c r="D11" s="2032">
        <v>0</v>
      </c>
      <c r="E11" s="2032"/>
      <c r="F11" s="2032"/>
      <c r="G11" s="2032">
        <v>530000</v>
      </c>
      <c r="H11" s="2032">
        <v>530000</v>
      </c>
      <c r="I11" s="2032">
        <f t="shared" si="1"/>
        <v>0</v>
      </c>
      <c r="J11" s="2034">
        <v>0</v>
      </c>
      <c r="K11" s="2035">
        <v>0</v>
      </c>
      <c r="L11" s="2034">
        <f t="shared" si="0"/>
        <v>0</v>
      </c>
      <c r="M11" s="2036">
        <f>K11/'5.3.1'!$Q$49*100</f>
        <v>0</v>
      </c>
      <c r="N11" s="2036">
        <f>K11/'5.3.1'!$Q$50*100</f>
        <v>0</v>
      </c>
      <c r="O11" s="2036"/>
    </row>
    <row r="12" spans="1:15" s="2028" customFormat="1" ht="11.25">
      <c r="B12" s="2033"/>
      <c r="C12" s="2813">
        <v>44406</v>
      </c>
      <c r="D12" s="2032"/>
      <c r="E12" s="2032"/>
      <c r="F12" s="2032"/>
      <c r="G12" s="2032">
        <v>500000</v>
      </c>
      <c r="H12" s="2032">
        <v>500000</v>
      </c>
      <c r="I12" s="2032">
        <f t="shared" si="1"/>
        <v>0</v>
      </c>
      <c r="J12" s="2034">
        <v>0</v>
      </c>
      <c r="K12" s="2035">
        <v>0</v>
      </c>
      <c r="L12" s="2034">
        <f t="shared" si="0"/>
        <v>0</v>
      </c>
      <c r="M12" s="2036">
        <f>K12/'5.3.1'!$Q$49*100</f>
        <v>0</v>
      </c>
      <c r="N12" s="2036">
        <f>K12/'5.3.1'!$Q$50*100</f>
        <v>0</v>
      </c>
      <c r="O12" s="2036"/>
    </row>
    <row r="13" spans="1:15" s="2028" customFormat="1" ht="11.25">
      <c r="B13" s="2033"/>
      <c r="C13" s="2813">
        <v>44420</v>
      </c>
      <c r="D13" s="2032"/>
      <c r="E13" s="2032"/>
      <c r="F13" s="2032"/>
      <c r="G13" s="2032">
        <v>500000</v>
      </c>
      <c r="H13" s="2032">
        <v>500000</v>
      </c>
      <c r="I13" s="2032">
        <f t="shared" si="1"/>
        <v>0</v>
      </c>
      <c r="J13" s="2034">
        <v>0</v>
      </c>
      <c r="K13" s="2035">
        <v>0</v>
      </c>
      <c r="L13" s="2034">
        <f t="shared" si="0"/>
        <v>0</v>
      </c>
      <c r="M13" s="2036">
        <f>K13/'5.3.1'!$Q$49*100</f>
        <v>0</v>
      </c>
      <c r="N13" s="2036">
        <f>K13/'5.3.1'!$Q$50*100</f>
        <v>0</v>
      </c>
      <c r="O13" s="2036"/>
    </row>
    <row r="14" spans="1:15" s="2028" customFormat="1" ht="11.25">
      <c r="B14" s="2033"/>
      <c r="C14" s="2813">
        <v>44434</v>
      </c>
      <c r="D14" s="2032"/>
      <c r="E14" s="2032"/>
      <c r="F14" s="2032"/>
      <c r="G14" s="2032">
        <v>500000</v>
      </c>
      <c r="H14" s="2032">
        <v>500000</v>
      </c>
      <c r="I14" s="2032">
        <f t="shared" si="1"/>
        <v>0</v>
      </c>
      <c r="J14" s="2034">
        <v>0</v>
      </c>
      <c r="K14" s="2035">
        <v>0</v>
      </c>
      <c r="L14" s="2034">
        <f t="shared" si="0"/>
        <v>0</v>
      </c>
      <c r="M14" s="2036">
        <f>K14/'5.3.1'!$Q$49*100</f>
        <v>0</v>
      </c>
      <c r="N14" s="2036">
        <f>K14/'5.3.1'!$Q$50*100</f>
        <v>0</v>
      </c>
      <c r="O14" s="2036"/>
    </row>
    <row r="15" spans="1:15" s="2028" customFormat="1" ht="11.25">
      <c r="B15" s="2033"/>
      <c r="C15" s="2813">
        <v>44448</v>
      </c>
      <c r="D15" s="2032"/>
      <c r="E15" s="2032"/>
      <c r="F15" s="2032"/>
      <c r="G15" s="2032">
        <v>500000</v>
      </c>
      <c r="H15" s="2032">
        <v>500000</v>
      </c>
      <c r="I15" s="2032">
        <f t="shared" si="1"/>
        <v>0</v>
      </c>
      <c r="J15" s="2034">
        <v>0</v>
      </c>
      <c r="K15" s="2035">
        <v>0</v>
      </c>
      <c r="L15" s="2034">
        <f t="shared" si="0"/>
        <v>0</v>
      </c>
      <c r="M15" s="2036">
        <f>K15/'5.3.1'!$Q$49*100</f>
        <v>0</v>
      </c>
      <c r="N15" s="2036">
        <f>K15/'5.3.1'!$Q$50*100</f>
        <v>0</v>
      </c>
      <c r="O15" s="2036"/>
    </row>
    <row r="16" spans="1:15" s="2028" customFormat="1" ht="11.25">
      <c r="B16" s="2033"/>
      <c r="C16" s="2437"/>
      <c r="D16" s="2032"/>
      <c r="E16" s="2032"/>
      <c r="F16" s="2032"/>
      <c r="G16" s="2032"/>
      <c r="H16" s="2032"/>
      <c r="I16" s="2032"/>
      <c r="J16" s="2034"/>
      <c r="K16" s="2035"/>
      <c r="L16" s="2034"/>
      <c r="M16" s="2036"/>
      <c r="N16" s="2036"/>
      <c r="O16" s="2036"/>
    </row>
    <row r="17" spans="2:18" s="2028" customFormat="1" ht="10.5" customHeight="1">
      <c r="B17" s="2030" t="s">
        <v>2263</v>
      </c>
      <c r="O17" s="2036"/>
    </row>
    <row r="18" spans="2:18" s="2028" customFormat="1" ht="11.25">
      <c r="B18" s="2033"/>
      <c r="C18" s="2813">
        <v>44280</v>
      </c>
      <c r="D18" s="2032">
        <v>0</v>
      </c>
      <c r="E18" s="2032"/>
      <c r="F18" s="2032"/>
      <c r="G18" s="2032">
        <v>165000</v>
      </c>
      <c r="H18" s="2032">
        <v>165000</v>
      </c>
      <c r="I18" s="2032">
        <f>G18-H18</f>
        <v>0</v>
      </c>
      <c r="J18" s="2034">
        <v>0</v>
      </c>
      <c r="K18" s="2035">
        <v>0</v>
      </c>
      <c r="L18" s="2034">
        <v>0</v>
      </c>
      <c r="M18" s="2036">
        <f>K18/'5.3.1'!$Q$49*100</f>
        <v>0</v>
      </c>
      <c r="N18" s="2036">
        <f>K18/'5.3.1'!$Q$50*100</f>
        <v>0</v>
      </c>
      <c r="O18" s="2036"/>
    </row>
    <row r="19" spans="2:18" s="2028" customFormat="1" ht="11.25">
      <c r="B19" s="2033"/>
      <c r="C19" s="2813">
        <v>44308</v>
      </c>
      <c r="D19" s="2032">
        <v>0</v>
      </c>
      <c r="E19" s="2032"/>
      <c r="F19" s="2032"/>
      <c r="G19" s="2032">
        <v>35000</v>
      </c>
      <c r="H19" s="2032">
        <v>0</v>
      </c>
      <c r="I19" s="2032">
        <f>G19-H19</f>
        <v>35000</v>
      </c>
      <c r="J19" s="2034">
        <v>34853</v>
      </c>
      <c r="K19" s="2035">
        <v>34851.495000000003</v>
      </c>
      <c r="L19" s="2034">
        <f>K19-J19</f>
        <v>-1.5049999999973807</v>
      </c>
      <c r="M19" s="2747">
        <f>K19/BS!$F$30</f>
        <v>3.7408075074839779E-2</v>
      </c>
      <c r="N19" s="2747">
        <f>K19/BS!$F$12</f>
        <v>6.5101272444213987E-2</v>
      </c>
      <c r="O19" s="2036"/>
    </row>
    <row r="20" spans="2:18" s="2028" customFormat="1" ht="11.25">
      <c r="B20" s="2033"/>
      <c r="C20" s="2813">
        <v>44379</v>
      </c>
      <c r="D20" s="2032">
        <v>0</v>
      </c>
      <c r="E20" s="2032"/>
      <c r="F20" s="2032"/>
      <c r="G20" s="2032">
        <v>500000</v>
      </c>
      <c r="H20" s="2032">
        <v>500000</v>
      </c>
      <c r="I20" s="2032">
        <f>G20-H20</f>
        <v>0</v>
      </c>
      <c r="J20" s="2034">
        <v>0</v>
      </c>
      <c r="K20" s="2035">
        <v>0</v>
      </c>
      <c r="L20" s="2034">
        <f>J20-K20</f>
        <v>0</v>
      </c>
      <c r="M20" s="2036">
        <f>K20/'5.3.1'!$Q$49*100</f>
        <v>0</v>
      </c>
      <c r="N20" s="2036">
        <f>K20/'5.3.1'!$Q$50*100</f>
        <v>0</v>
      </c>
      <c r="O20" s="2036"/>
    </row>
    <row r="21" spans="2:18" s="2028" customFormat="1" ht="11.25">
      <c r="B21" s="2033"/>
      <c r="C21" s="2813">
        <v>44392</v>
      </c>
      <c r="D21" s="2032"/>
      <c r="E21" s="2032"/>
      <c r="F21" s="2032"/>
      <c r="G21" s="2032">
        <v>500000</v>
      </c>
      <c r="H21" s="2032">
        <v>500000</v>
      </c>
      <c r="I21" s="2032">
        <f t="shared" ref="I21:I25" si="2">G21-H21</f>
        <v>0</v>
      </c>
      <c r="J21" s="2034">
        <v>0</v>
      </c>
      <c r="K21" s="2035">
        <v>0</v>
      </c>
      <c r="L21" s="2034">
        <f t="shared" ref="L21:L25" si="3">J21-K21</f>
        <v>0</v>
      </c>
      <c r="M21" s="2036">
        <f>K21/'5.3.1'!$Q$49*100</f>
        <v>0</v>
      </c>
      <c r="N21" s="2036">
        <f>K21/'5.3.1'!$Q$50*100</f>
        <v>0</v>
      </c>
      <c r="O21" s="2036"/>
    </row>
    <row r="22" spans="2:18" s="2028" customFormat="1" ht="11.25">
      <c r="B22" s="2033"/>
      <c r="C22" s="2813">
        <v>44406</v>
      </c>
      <c r="D22" s="2032"/>
      <c r="E22" s="2032"/>
      <c r="F22" s="2032"/>
      <c r="G22" s="2032">
        <v>500000</v>
      </c>
      <c r="H22" s="2032">
        <v>500000</v>
      </c>
      <c r="I22" s="2032">
        <f t="shared" si="2"/>
        <v>0</v>
      </c>
      <c r="J22" s="2034">
        <v>0</v>
      </c>
      <c r="K22" s="2035">
        <v>0</v>
      </c>
      <c r="L22" s="2034">
        <f t="shared" si="3"/>
        <v>0</v>
      </c>
      <c r="M22" s="2036">
        <f>K22/'5.3.1'!$Q$49*100</f>
        <v>0</v>
      </c>
      <c r="N22" s="2036">
        <f>K22/'5.3.1'!$Q$50*100</f>
        <v>0</v>
      </c>
      <c r="O22" s="2036"/>
    </row>
    <row r="23" spans="2:18" s="2028" customFormat="1" ht="11.25">
      <c r="B23" s="2033"/>
      <c r="C23" s="2813">
        <v>44420</v>
      </c>
      <c r="D23" s="2032"/>
      <c r="E23" s="2032"/>
      <c r="F23" s="2032"/>
      <c r="G23" s="2032">
        <v>500000</v>
      </c>
      <c r="H23" s="2032">
        <v>500000</v>
      </c>
      <c r="I23" s="2032">
        <f t="shared" si="2"/>
        <v>0</v>
      </c>
      <c r="J23" s="2034">
        <v>0</v>
      </c>
      <c r="K23" s="2035">
        <v>0</v>
      </c>
      <c r="L23" s="2034">
        <f t="shared" si="3"/>
        <v>0</v>
      </c>
      <c r="M23" s="2036">
        <f>K23/'5.3.1'!$Q$49*100</f>
        <v>0</v>
      </c>
      <c r="N23" s="2036">
        <f>K23/'5.3.1'!$Q$50*100</f>
        <v>0</v>
      </c>
      <c r="O23" s="2036"/>
    </row>
    <row r="24" spans="2:18" s="2028" customFormat="1" ht="11.25">
      <c r="B24" s="2033"/>
      <c r="C24" s="2813">
        <v>44434</v>
      </c>
      <c r="D24" s="2032"/>
      <c r="E24" s="2032"/>
      <c r="F24" s="2032"/>
      <c r="G24" s="2032">
        <v>725000</v>
      </c>
      <c r="H24" s="2032">
        <v>725000</v>
      </c>
      <c r="I24" s="2032">
        <f t="shared" si="2"/>
        <v>0</v>
      </c>
      <c r="J24" s="2034">
        <v>0</v>
      </c>
      <c r="K24" s="2035">
        <v>0</v>
      </c>
      <c r="L24" s="2034">
        <f t="shared" si="3"/>
        <v>0</v>
      </c>
      <c r="M24" s="2036">
        <f>K24/'5.3.1'!$Q$49*100</f>
        <v>0</v>
      </c>
      <c r="N24" s="2036">
        <f>K24/'5.3.1'!$Q$50*100</f>
        <v>0</v>
      </c>
      <c r="O24" s="2036"/>
    </row>
    <row r="25" spans="2:18" s="2028" customFormat="1" ht="11.25">
      <c r="B25" s="2033"/>
      <c r="C25" s="2813">
        <v>44448</v>
      </c>
      <c r="D25" s="2032"/>
      <c r="E25" s="2032"/>
      <c r="F25" s="2032"/>
      <c r="G25" s="2032">
        <v>2150000</v>
      </c>
      <c r="H25" s="2032">
        <v>2150000</v>
      </c>
      <c r="I25" s="2032">
        <f t="shared" si="2"/>
        <v>0</v>
      </c>
      <c r="J25" s="2034">
        <v>0</v>
      </c>
      <c r="K25" s="2035">
        <v>0</v>
      </c>
      <c r="L25" s="2034">
        <f t="shared" si="3"/>
        <v>0</v>
      </c>
      <c r="M25" s="2036">
        <f>K25/'5.3.1'!$Q$49*100</f>
        <v>0</v>
      </c>
      <c r="N25" s="2036">
        <f>K25/'5.3.1'!$Q$50*100</f>
        <v>0</v>
      </c>
      <c r="O25" s="2036"/>
    </row>
    <row r="26" spans="2:18" s="2028" customFormat="1" ht="10.5" customHeight="1">
      <c r="B26" s="2033"/>
      <c r="C26" s="2598"/>
      <c r="D26" s="2032"/>
      <c r="E26" s="2032"/>
      <c r="F26" s="2032"/>
      <c r="G26" s="2032"/>
      <c r="H26" s="2032"/>
      <c r="I26" s="2032"/>
      <c r="J26" s="2034"/>
      <c r="K26" s="2035"/>
      <c r="L26" s="2034"/>
      <c r="M26" s="2036"/>
      <c r="N26" s="2036"/>
      <c r="O26" s="2036"/>
    </row>
    <row r="27" spans="2:18" s="2028" customFormat="1" ht="11.25">
      <c r="B27" s="2037" t="s">
        <v>2113</v>
      </c>
      <c r="C27" s="1993"/>
      <c r="J27" s="2034"/>
      <c r="K27" s="2035"/>
      <c r="L27" s="2034"/>
      <c r="M27" s="2036"/>
      <c r="N27" s="2036"/>
      <c r="O27" s="2036"/>
    </row>
    <row r="28" spans="2:18" s="2028" customFormat="1" ht="11.25">
      <c r="B28" s="2073" t="s">
        <v>2154</v>
      </c>
      <c r="C28" s="1948"/>
      <c r="J28" s="2034"/>
      <c r="K28" s="2035"/>
      <c r="L28" s="2034"/>
      <c r="M28" s="2036"/>
      <c r="N28" s="2036"/>
      <c r="O28" s="2036"/>
    </row>
    <row r="29" spans="2:18" s="2028" customFormat="1" ht="11.25">
      <c r="B29" s="2038"/>
      <c r="C29" s="2598" t="s">
        <v>2494</v>
      </c>
      <c r="D29" s="2032">
        <v>0</v>
      </c>
      <c r="E29" s="2032"/>
      <c r="F29" s="2032"/>
      <c r="G29" s="2032">
        <v>100000</v>
      </c>
      <c r="H29" s="2032">
        <v>100000</v>
      </c>
      <c r="I29" s="2032">
        <f>D29+G29-H29</f>
        <v>0</v>
      </c>
      <c r="J29" s="2034">
        <v>0</v>
      </c>
      <c r="K29" s="2035">
        <v>0</v>
      </c>
      <c r="L29" s="2034">
        <f>J29-K29</f>
        <v>0</v>
      </c>
      <c r="M29" s="2036">
        <f>K29/'5.3.1'!$Q$49*100</f>
        <v>0</v>
      </c>
      <c r="N29" s="2036">
        <f>K29/'5.3.1'!$Q$50*100</f>
        <v>0</v>
      </c>
      <c r="O29" s="2036"/>
    </row>
    <row r="30" spans="2:18" s="2028" customFormat="1" ht="11.25">
      <c r="B30" s="2033"/>
      <c r="J30" s="2703"/>
      <c r="K30" s="2703"/>
      <c r="O30" s="2040"/>
    </row>
    <row r="31" spans="2:18" s="2028" customFormat="1" ht="11.25">
      <c r="B31" s="2033"/>
      <c r="C31" s="2437"/>
      <c r="D31" s="2032"/>
      <c r="E31" s="2032"/>
      <c r="F31" s="2032"/>
      <c r="G31" s="2032"/>
      <c r="H31" s="2032"/>
      <c r="I31" s="2032"/>
      <c r="J31" s="2034"/>
      <c r="K31" s="2035"/>
      <c r="L31" s="2032"/>
      <c r="M31" s="2040"/>
      <c r="N31" s="2040"/>
      <c r="O31" s="2040"/>
    </row>
    <row r="32" spans="2:18" s="2041" customFormat="1" thickBot="1">
      <c r="B32" s="2042" t="s">
        <v>2485</v>
      </c>
      <c r="C32" s="1970"/>
      <c r="D32" s="2044"/>
      <c r="E32" s="2044"/>
      <c r="F32" s="2044"/>
      <c r="G32" s="1970"/>
      <c r="H32" s="2044"/>
      <c r="I32" s="2044"/>
      <c r="J32" s="2045">
        <f>SUM(J8:J29)</f>
        <v>34853</v>
      </c>
      <c r="K32" s="2045">
        <f>SUM(K8:K29)+7</f>
        <v>34858.495000000003</v>
      </c>
      <c r="L32" s="2045">
        <f>SUM(L8:L29)</f>
        <v>-1.5049999999973807</v>
      </c>
      <c r="M32" s="2040"/>
      <c r="N32" s="2040"/>
      <c r="O32" s="2040"/>
      <c r="Q32" s="2046"/>
      <c r="R32" s="2046"/>
    </row>
    <row r="33" spans="2:18" s="2028" customFormat="1" ht="6" customHeight="1" thickTop="1">
      <c r="B33" s="2047"/>
      <c r="C33" s="1993"/>
      <c r="D33" s="2032"/>
      <c r="E33" s="2032"/>
      <c r="F33" s="2032"/>
      <c r="G33" s="1993"/>
      <c r="H33" s="2032"/>
      <c r="I33" s="2032"/>
      <c r="J33" s="2048"/>
      <c r="K33" s="2048"/>
      <c r="L33" s="2048"/>
      <c r="M33" s="2040"/>
      <c r="N33" s="2040"/>
      <c r="O33" s="2040"/>
    </row>
    <row r="34" spans="2:18" s="2028" customFormat="1" thickBot="1">
      <c r="B34" s="2049" t="s">
        <v>2486</v>
      </c>
      <c r="C34" s="1993"/>
      <c r="D34" s="2032"/>
      <c r="E34" s="2032"/>
      <c r="F34" s="2032"/>
      <c r="G34" s="1993"/>
      <c r="H34" s="2032"/>
      <c r="I34" s="2032"/>
      <c r="J34" s="2444">
        <v>74793</v>
      </c>
      <c r="K34" s="2050">
        <v>74795</v>
      </c>
      <c r="L34" s="2050">
        <f>K34-J34</f>
        <v>2</v>
      </c>
      <c r="M34" s="2040"/>
      <c r="N34" s="2040"/>
      <c r="O34" s="2040"/>
      <c r="Q34" s="2051"/>
      <c r="R34" s="2051"/>
    </row>
    <row r="35" spans="2:18" s="1727" customFormat="1" ht="6" customHeight="1" thickTop="1"/>
  </sheetData>
  <mergeCells count="8">
    <mergeCell ref="M6:N6"/>
    <mergeCell ref="M4:M5"/>
    <mergeCell ref="N4:N5"/>
    <mergeCell ref="B4:B5"/>
    <mergeCell ref="C4:C5"/>
    <mergeCell ref="D4:I4"/>
    <mergeCell ref="D6:I6"/>
    <mergeCell ref="J4:L4"/>
  </mergeCells>
  <printOptions horizontalCentered="1"/>
  <pageMargins left="0.75" right="0.5" top="0.5" bottom="0.4" header="0.54" footer="0.2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R116"/>
  <sheetViews>
    <sheetView showGridLines="0" view="pageBreakPreview" zoomScaleNormal="100" zoomScaleSheetLayoutView="100" workbookViewId="0">
      <selection activeCell="A154" sqref="A154"/>
    </sheetView>
  </sheetViews>
  <sheetFormatPr defaultColWidth="8" defaultRowHeight="12" zeroHeight="1"/>
  <cols>
    <col min="1" max="1" width="4.75" style="1727" customWidth="1"/>
    <col min="2" max="2" width="23.875" style="1727" customWidth="1"/>
    <col min="3" max="3" width="6.25" style="2272" customWidth="1"/>
    <col min="4" max="4" width="6.75" style="1727" customWidth="1"/>
    <col min="5" max="10" width="6.25" style="1727" customWidth="1"/>
    <col min="11" max="14" width="6.875" style="1727" customWidth="1"/>
    <col min="15" max="15" width="12.75" style="1727" customWidth="1"/>
    <col min="16" max="16" width="12" style="1727" customWidth="1"/>
    <col min="17" max="17" width="7.625" style="1727" customWidth="1"/>
    <col min="18" max="18" width="12.25" style="1727" customWidth="1"/>
    <col min="19" max="23" width="13.75" style="1727" customWidth="1"/>
    <col min="24" max="24" width="7.625" style="1727" customWidth="1"/>
    <col min="25" max="16384" width="8" style="1727"/>
  </cols>
  <sheetData>
    <row r="1" spans="1:18" s="1730" customFormat="1">
      <c r="A1" s="2253"/>
      <c r="B1" s="2355"/>
      <c r="C1" s="1714"/>
      <c r="D1" s="1666"/>
      <c r="E1" s="1666"/>
      <c r="F1" s="1666"/>
      <c r="G1" s="1666"/>
      <c r="H1" s="1666"/>
      <c r="I1" s="1666"/>
      <c r="J1" s="1666"/>
      <c r="K1" s="1882"/>
      <c r="L1" s="1669"/>
      <c r="M1" s="1669"/>
    </row>
    <row r="2" spans="1:18" s="1730" customFormat="1">
      <c r="A2" s="1595"/>
      <c r="B2" s="1666"/>
      <c r="C2" s="1714"/>
      <c r="D2" s="1666"/>
      <c r="E2" s="1666"/>
      <c r="F2" s="1666"/>
      <c r="G2" s="1666"/>
      <c r="H2" s="1666"/>
      <c r="I2" s="1666"/>
      <c r="J2" s="1666"/>
      <c r="K2" s="1882"/>
      <c r="L2" s="1669"/>
      <c r="M2" s="1669"/>
    </row>
    <row r="3" spans="1:18" s="1730" customFormat="1">
      <c r="A3" s="1595"/>
      <c r="B3" s="1666"/>
      <c r="C3" s="1714"/>
      <c r="D3" s="1666"/>
      <c r="E3" s="1666"/>
      <c r="F3" s="1666"/>
      <c r="G3" s="1666"/>
      <c r="H3" s="1666"/>
      <c r="I3" s="1666"/>
      <c r="J3" s="1666"/>
      <c r="K3" s="1882"/>
      <c r="L3" s="1669"/>
      <c r="M3" s="1669"/>
    </row>
    <row r="4" spans="1:18" s="2138" customFormat="1" ht="12.75">
      <c r="A4" s="2136"/>
      <c r="B4" s="3062" t="s">
        <v>863</v>
      </c>
      <c r="C4" s="3059" t="s">
        <v>864</v>
      </c>
      <c r="D4" s="3060"/>
      <c r="E4" s="3060"/>
      <c r="F4" s="3060"/>
      <c r="G4" s="3061"/>
      <c r="H4" s="3065" t="s">
        <v>2483</v>
      </c>
      <c r="I4" s="3066"/>
      <c r="J4" s="3067"/>
      <c r="K4" s="3068" t="s">
        <v>1499</v>
      </c>
      <c r="L4" s="3071" t="s">
        <v>2168</v>
      </c>
      <c r="M4" s="2137"/>
    </row>
    <row r="5" spans="1:18" s="2138" customFormat="1" ht="9.75">
      <c r="A5" s="2136"/>
      <c r="B5" s="3063"/>
      <c r="C5" s="3074" t="s">
        <v>2487</v>
      </c>
      <c r="D5" s="3074" t="s">
        <v>1773</v>
      </c>
      <c r="E5" s="3068" t="s">
        <v>1948</v>
      </c>
      <c r="F5" s="3074" t="s">
        <v>2179</v>
      </c>
      <c r="G5" s="3074" t="s">
        <v>2483</v>
      </c>
      <c r="H5" s="3074" t="s">
        <v>853</v>
      </c>
      <c r="I5" s="3074" t="s">
        <v>866</v>
      </c>
      <c r="J5" s="3074" t="s">
        <v>2180</v>
      </c>
      <c r="K5" s="3069"/>
      <c r="L5" s="3072"/>
      <c r="M5" s="2137"/>
    </row>
    <row r="6" spans="1:18" s="2138" customFormat="1" ht="9.75">
      <c r="A6" s="2136"/>
      <c r="B6" s="3063"/>
      <c r="C6" s="3069"/>
      <c r="D6" s="3069"/>
      <c r="E6" s="3069"/>
      <c r="F6" s="3069"/>
      <c r="G6" s="3069"/>
      <c r="H6" s="3069"/>
      <c r="I6" s="3069"/>
      <c r="J6" s="3069"/>
      <c r="K6" s="3069"/>
      <c r="L6" s="3072"/>
      <c r="M6" s="2137"/>
      <c r="R6" s="2138">
        <f>'5.1'!L32+'5.2.1'!J20+'5.3.1'!J32</f>
        <v>1535.5339999999928</v>
      </c>
    </row>
    <row r="7" spans="1:18" s="2138" customFormat="1" ht="9.75">
      <c r="A7" s="2136"/>
      <c r="B7" s="3063"/>
      <c r="C7" s="3069"/>
      <c r="D7" s="3069"/>
      <c r="E7" s="3069"/>
      <c r="F7" s="3069"/>
      <c r="G7" s="3069"/>
      <c r="H7" s="3069"/>
      <c r="I7" s="3069"/>
      <c r="J7" s="3069"/>
      <c r="K7" s="3069"/>
      <c r="L7" s="3072"/>
      <c r="M7" s="2137"/>
    </row>
    <row r="8" spans="1:18" s="2138" customFormat="1" ht="9.75">
      <c r="A8" s="2136"/>
      <c r="B8" s="3063"/>
      <c r="C8" s="3069"/>
      <c r="D8" s="3069"/>
      <c r="E8" s="3069"/>
      <c r="F8" s="3069"/>
      <c r="G8" s="3069"/>
      <c r="H8" s="3069"/>
      <c r="I8" s="3069"/>
      <c r="J8" s="3069"/>
      <c r="K8" s="3069"/>
      <c r="L8" s="3072"/>
      <c r="M8" s="2137"/>
    </row>
    <row r="9" spans="1:18" s="2138" customFormat="1" ht="9.75">
      <c r="A9" s="2136"/>
      <c r="B9" s="3063"/>
      <c r="C9" s="3069"/>
      <c r="D9" s="3069"/>
      <c r="E9" s="3069"/>
      <c r="F9" s="3069"/>
      <c r="G9" s="3069"/>
      <c r="H9" s="3069"/>
      <c r="I9" s="3069"/>
      <c r="J9" s="3069"/>
      <c r="K9" s="3069"/>
      <c r="L9" s="3072"/>
      <c r="M9" s="2137"/>
    </row>
    <row r="10" spans="1:18" s="2138" customFormat="1" ht="9.75">
      <c r="A10" s="2136"/>
      <c r="B10" s="3063"/>
      <c r="C10" s="3069"/>
      <c r="D10" s="3069"/>
      <c r="E10" s="3069"/>
      <c r="F10" s="3069"/>
      <c r="G10" s="3069"/>
      <c r="H10" s="3069"/>
      <c r="I10" s="3069"/>
      <c r="J10" s="3069"/>
      <c r="K10" s="3069"/>
      <c r="L10" s="3072"/>
      <c r="M10" s="2137"/>
    </row>
    <row r="11" spans="1:18" s="2138" customFormat="1" ht="9.75">
      <c r="A11" s="2136"/>
      <c r="B11" s="3064"/>
      <c r="C11" s="3070"/>
      <c r="D11" s="3070"/>
      <c r="E11" s="3070"/>
      <c r="F11" s="3070"/>
      <c r="G11" s="3070"/>
      <c r="H11" s="3070"/>
      <c r="I11" s="3070"/>
      <c r="J11" s="3070"/>
      <c r="K11" s="3070"/>
      <c r="L11" s="3073"/>
      <c r="M11" s="2137"/>
    </row>
    <row r="12" spans="1:18" s="2096" customFormat="1" ht="12.75">
      <c r="A12" s="2095"/>
      <c r="B12" s="2097"/>
      <c r="C12" s="2098"/>
      <c r="D12" s="2099"/>
      <c r="E12" s="2099"/>
      <c r="F12" s="2099"/>
      <c r="G12" s="2100"/>
      <c r="H12" s="3078" t="s">
        <v>868</v>
      </c>
      <c r="I12" s="3078"/>
      <c r="J12" s="3078"/>
      <c r="K12" s="3076" t="s">
        <v>857</v>
      </c>
      <c r="L12" s="3077"/>
      <c r="M12" s="2296"/>
    </row>
    <row r="13" spans="1:18" s="2096" customFormat="1" ht="4.5" customHeight="1">
      <c r="A13" s="2095"/>
      <c r="B13" s="2701"/>
      <c r="C13" s="2098"/>
      <c r="D13" s="2082"/>
      <c r="E13" s="2082"/>
      <c r="F13" s="2082"/>
      <c r="G13" s="2085"/>
      <c r="H13" s="2702"/>
      <c r="I13" s="2702"/>
      <c r="J13" s="2078"/>
      <c r="K13" s="2077"/>
      <c r="L13" s="2077"/>
      <c r="M13" s="2597"/>
    </row>
    <row r="14" spans="1:18" s="2028" customFormat="1" ht="11.25">
      <c r="A14" s="1953"/>
      <c r="B14" s="1958"/>
      <c r="C14" s="2085"/>
      <c r="D14" s="2082"/>
      <c r="E14" s="2086"/>
      <c r="F14" s="2086"/>
      <c r="G14" s="2085"/>
      <c r="H14" s="2087"/>
      <c r="I14" s="2087"/>
      <c r="J14" s="2079"/>
      <c r="K14" s="2061"/>
      <c r="L14" s="2061"/>
      <c r="M14" s="2061"/>
    </row>
    <row r="15" spans="1:18" s="2028" customFormat="1" ht="11.25">
      <c r="A15" s="1953"/>
      <c r="B15" s="2060" t="s">
        <v>873</v>
      </c>
      <c r="C15" s="2085"/>
      <c r="D15" s="2082"/>
      <c r="E15" s="2086"/>
      <c r="F15" s="2086"/>
      <c r="G15" s="2085"/>
      <c r="H15" s="2087"/>
      <c r="I15" s="2087"/>
      <c r="J15" s="2079"/>
      <c r="K15" s="2061"/>
      <c r="L15" s="2061"/>
      <c r="M15" s="2061"/>
    </row>
    <row r="16" spans="1:18" s="2028" customFormat="1" ht="11.25">
      <c r="A16" s="1953"/>
      <c r="B16" s="2059" t="s">
        <v>874</v>
      </c>
      <c r="C16" s="2085">
        <v>15000</v>
      </c>
      <c r="D16" s="2082">
        <v>0</v>
      </c>
      <c r="E16" s="2082">
        <v>0</v>
      </c>
      <c r="F16" s="2082">
        <v>0</v>
      </c>
      <c r="G16" s="2085">
        <f>C16+D16-E16-F16</f>
        <v>15000</v>
      </c>
      <c r="H16" s="2177">
        <v>74910</v>
      </c>
      <c r="I16" s="2087"/>
      <c r="J16" s="2079"/>
      <c r="K16" s="2061"/>
      <c r="L16" s="2061"/>
      <c r="M16" s="2061"/>
    </row>
    <row r="17" spans="1:16" s="2174" customFormat="1" ht="11.25">
      <c r="A17" s="2173"/>
      <c r="B17" s="2059" t="s">
        <v>2155</v>
      </c>
      <c r="C17" s="2175"/>
      <c r="D17" s="2175"/>
      <c r="E17" s="2175"/>
      <c r="F17" s="2175"/>
      <c r="H17" s="2178">
        <f>-H16</f>
        <v>-74910</v>
      </c>
      <c r="I17" s="2175"/>
    </row>
    <row r="18" spans="1:16" s="2028" customFormat="1" ht="11.25">
      <c r="A18" s="1953"/>
      <c r="B18" s="2062"/>
      <c r="C18" s="2088"/>
      <c r="D18" s="2088"/>
      <c r="E18" s="2088"/>
      <c r="F18" s="2088"/>
      <c r="G18" s="2088"/>
      <c r="H18" s="2083">
        <f>SUM(H16:H17)</f>
        <v>0</v>
      </c>
      <c r="I18" s="2083">
        <v>0</v>
      </c>
      <c r="J18" s="2176">
        <v>0</v>
      </c>
      <c r="K18" s="2063" t="s">
        <v>843</v>
      </c>
      <c r="L18" s="2063" t="s">
        <v>843</v>
      </c>
      <c r="M18" s="2063"/>
      <c r="N18" s="2028" t="s">
        <v>875</v>
      </c>
    </row>
    <row r="19" spans="1:16" s="2028" customFormat="1" ht="2.25" customHeight="1">
      <c r="A19" s="1953"/>
      <c r="B19" s="1993"/>
      <c r="C19" s="2080"/>
      <c r="D19" s="2080"/>
      <c r="E19" s="2080"/>
      <c r="F19" s="2080"/>
      <c r="G19" s="2080"/>
      <c r="H19" s="2080"/>
      <c r="I19" s="2080"/>
      <c r="J19" s="2080"/>
      <c r="K19" s="2065"/>
      <c r="L19" s="2065"/>
      <c r="M19" s="2065"/>
    </row>
    <row r="20" spans="1:16" s="2028" customFormat="1" thickBot="1">
      <c r="A20" s="1953"/>
      <c r="B20" s="2066" t="str">
        <f>'5.1'!B32</f>
        <v>As at September 30, 2021 (Unaudited)</v>
      </c>
      <c r="C20" s="2080"/>
      <c r="D20" s="2080"/>
      <c r="E20" s="2080"/>
      <c r="F20" s="2080"/>
      <c r="G20" s="2080"/>
      <c r="H20" s="2089">
        <f>H18</f>
        <v>0</v>
      </c>
      <c r="I20" s="2089">
        <f>I18</f>
        <v>0</v>
      </c>
      <c r="J20" s="2089">
        <f>J18</f>
        <v>0</v>
      </c>
      <c r="K20" s="2067"/>
      <c r="L20" s="2067"/>
      <c r="M20" s="2067"/>
    </row>
    <row r="21" spans="1:16" s="2028" customFormat="1" ht="3" customHeight="1" thickTop="1">
      <c r="A21" s="1953"/>
      <c r="B21" s="2068"/>
      <c r="C21" s="2080"/>
      <c r="D21" s="2080"/>
      <c r="E21" s="2080"/>
      <c r="F21" s="2080"/>
      <c r="G21" s="2080"/>
      <c r="H21" s="2090"/>
      <c r="I21" s="2090"/>
      <c r="J21" s="2090"/>
      <c r="K21" s="2070"/>
      <c r="L21" s="2070"/>
      <c r="M21" s="2070"/>
    </row>
    <row r="22" spans="1:16" s="2028" customFormat="1" thickBot="1">
      <c r="A22" s="2052"/>
      <c r="B22" s="2071" t="str">
        <f>'5.1'!B34</f>
        <v>As at June 30, 2021 (Audited)</v>
      </c>
      <c r="C22" s="2080"/>
      <c r="D22" s="2080"/>
      <c r="E22" s="2080"/>
      <c r="F22" s="2080"/>
      <c r="G22" s="2080"/>
      <c r="H22" s="2091">
        <v>0</v>
      </c>
      <c r="I22" s="2091">
        <v>0</v>
      </c>
      <c r="J22" s="2091">
        <f>I22-H22</f>
        <v>0</v>
      </c>
      <c r="K22" s="2029"/>
      <c r="L22" s="2029"/>
      <c r="M22" s="2029"/>
      <c r="O22" s="2057">
        <f>I22+'5.3.1'!I34</f>
        <v>156233</v>
      </c>
    </row>
    <row r="23" spans="1:16" s="2028" customFormat="1" ht="6" customHeight="1" thickTop="1">
      <c r="A23" s="1953"/>
      <c r="B23" s="2068"/>
      <c r="C23" s="1948"/>
      <c r="D23" s="1993"/>
      <c r="E23" s="1993"/>
      <c r="F23" s="1993"/>
      <c r="G23" s="1993"/>
      <c r="H23" s="2069"/>
      <c r="I23" s="2069"/>
      <c r="J23" s="2069"/>
      <c r="K23" s="2070"/>
      <c r="L23" s="2072"/>
      <c r="M23" s="2072"/>
    </row>
    <row r="24" spans="1:16" s="2028" customFormat="1" ht="11.25">
      <c r="A24" s="1953"/>
      <c r="B24" s="2068" t="s">
        <v>2169</v>
      </c>
      <c r="C24" s="1948"/>
      <c r="D24" s="1993"/>
      <c r="E24" s="1993"/>
      <c r="F24" s="1993"/>
      <c r="G24" s="1993"/>
      <c r="H24" s="2069"/>
      <c r="I24" s="2069"/>
      <c r="J24" s="2069"/>
      <c r="K24" s="2070"/>
      <c r="L24" s="2072"/>
      <c r="M24" s="2072"/>
      <c r="P24" s="2028">
        <f>'5.3.1'!I32</f>
        <v>155499.50699999998</v>
      </c>
    </row>
    <row r="25" spans="1:16">
      <c r="A25" s="1797"/>
      <c r="B25" s="2016"/>
      <c r="C25" s="1814"/>
      <c r="D25" s="1719"/>
      <c r="E25" s="1719"/>
      <c r="F25" s="1719"/>
      <c r="G25" s="1719"/>
      <c r="H25" s="1587"/>
      <c r="I25" s="1587"/>
      <c r="J25" s="1587"/>
      <c r="K25" s="2017"/>
      <c r="L25" s="2018"/>
      <c r="M25" s="2018"/>
    </row>
    <row r="26" spans="1:16">
      <c r="A26" s="1797"/>
      <c r="B26" s="2016"/>
      <c r="C26" s="1814"/>
      <c r="D26" s="1719"/>
      <c r="E26" s="1719"/>
      <c r="F26" s="1719"/>
      <c r="G26" s="1719"/>
      <c r="H26" s="1587"/>
      <c r="I26" s="1587"/>
      <c r="J26" s="1587"/>
      <c r="K26" s="2017"/>
      <c r="L26" s="2018"/>
      <c r="M26" s="2018"/>
    </row>
    <row r="27" spans="1:16">
      <c r="A27" s="1797"/>
      <c r="B27" s="2016"/>
      <c r="C27" s="1814"/>
      <c r="D27" s="1719"/>
      <c r="E27" s="1719"/>
      <c r="F27" s="1719"/>
      <c r="G27" s="1719"/>
      <c r="H27" s="1587"/>
      <c r="I27" s="1587"/>
      <c r="J27" s="1587"/>
      <c r="K27" s="2017"/>
      <c r="L27" s="2018"/>
      <c r="M27" s="2018"/>
    </row>
    <row r="28" spans="1:16"/>
    <row r="29" spans="1:16"/>
    <row r="30" spans="1:16"/>
    <row r="31" spans="1:16"/>
    <row r="32" spans="1:16"/>
    <row r="33" spans="1:13"/>
    <row r="34" spans="1:13"/>
    <row r="35" spans="1:13"/>
    <row r="36" spans="1:13"/>
    <row r="37" spans="1:13"/>
    <row r="38" spans="1:13"/>
    <row r="39" spans="1:13"/>
    <row r="40" spans="1:13"/>
    <row r="41" spans="1:13" s="1730" customFormat="1">
      <c r="A41" s="1595"/>
      <c r="B41" s="1666"/>
      <c r="C41" s="1714"/>
      <c r="D41" s="1666"/>
      <c r="E41" s="1666"/>
      <c r="F41" s="1666"/>
      <c r="G41" s="1666"/>
      <c r="H41" s="1666"/>
      <c r="I41" s="1666"/>
      <c r="J41" s="1666"/>
      <c r="K41" s="1882"/>
      <c r="L41" s="1669"/>
      <c r="M41" s="1669"/>
    </row>
    <row r="42" spans="1:13" s="1730" customFormat="1">
      <c r="A42" s="1595"/>
      <c r="B42" s="1666"/>
      <c r="C42" s="1714"/>
      <c r="D42" s="1666"/>
      <c r="E42" s="1666"/>
      <c r="F42" s="1666"/>
      <c r="G42" s="1666"/>
      <c r="H42" s="1666"/>
      <c r="I42" s="1666"/>
      <c r="J42" s="1666"/>
      <c r="K42" s="1882"/>
      <c r="L42" s="1669"/>
      <c r="M42" s="1669"/>
    </row>
    <row r="43" spans="1:13">
      <c r="A43" s="1595"/>
      <c r="B43" s="1666"/>
      <c r="C43" s="1814"/>
      <c r="D43" s="1719"/>
      <c r="E43" s="1719"/>
      <c r="F43" s="1719"/>
      <c r="G43" s="1719"/>
      <c r="H43" s="1719"/>
      <c r="I43" s="1666"/>
      <c r="J43" s="1666"/>
      <c r="K43" s="1882"/>
      <c r="L43" s="1669"/>
      <c r="M43" s="1669"/>
    </row>
    <row r="44" spans="1:13">
      <c r="I44" s="3075"/>
      <c r="J44" s="3075"/>
      <c r="K44" s="1917"/>
    </row>
    <row r="45" spans="1:13">
      <c r="I45" s="3075"/>
      <c r="J45" s="3075"/>
      <c r="K45" s="1917"/>
    </row>
    <row r="46" spans="1:13">
      <c r="I46" s="1730"/>
      <c r="J46" s="1730"/>
      <c r="K46" s="1730"/>
    </row>
    <row r="47" spans="1:13"/>
    <row r="48" spans="1:13"/>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sheetData>
  <mergeCells count="17">
    <mergeCell ref="I44:J44"/>
    <mergeCell ref="I5:I11"/>
    <mergeCell ref="I45:J45"/>
    <mergeCell ref="J5:J11"/>
    <mergeCell ref="K12:L12"/>
    <mergeCell ref="H12:J12"/>
    <mergeCell ref="C4:G4"/>
    <mergeCell ref="B4:B11"/>
    <mergeCell ref="H4:J4"/>
    <mergeCell ref="K4:K11"/>
    <mergeCell ref="L4:L11"/>
    <mergeCell ref="C5:C11"/>
    <mergeCell ref="D5:D11"/>
    <mergeCell ref="E5:E11"/>
    <mergeCell ref="F5:F11"/>
    <mergeCell ref="G5:G11"/>
    <mergeCell ref="H5:H11"/>
  </mergeCells>
  <printOptions horizontalCentered="1"/>
  <pageMargins left="0.75" right="0.5" top="0.5" bottom="0.4" header="0.54" footer="0.23"/>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3:J16"/>
  <sheetViews>
    <sheetView showGridLines="0" view="pageBreakPreview" zoomScaleNormal="100" zoomScaleSheetLayoutView="100" workbookViewId="0">
      <selection activeCell="B48" sqref="B48"/>
    </sheetView>
  </sheetViews>
  <sheetFormatPr defaultColWidth="9" defaultRowHeight="12"/>
  <cols>
    <col min="1" max="1" width="5.125" style="1828" customWidth="1"/>
    <col min="2" max="2" width="24.25" style="1828" customWidth="1"/>
    <col min="3" max="4" width="6.75" style="1828" customWidth="1"/>
    <col min="5" max="5" width="7.25" style="1828" customWidth="1"/>
    <col min="6" max="6" width="11.5" style="1828" bestFit="1" customWidth="1"/>
    <col min="7" max="7" width="13.125" style="1828" bestFit="1" customWidth="1"/>
    <col min="8" max="8" width="7.5" style="1828" customWidth="1"/>
    <col min="9" max="9" width="4.625" style="1828" customWidth="1"/>
    <col min="10" max="16384" width="9" style="1828"/>
  </cols>
  <sheetData>
    <row r="3" spans="2:10" s="2221" customFormat="1">
      <c r="B3" s="3079" t="s">
        <v>2184</v>
      </c>
      <c r="C3" s="3082" t="s">
        <v>2185</v>
      </c>
      <c r="D3" s="3079" t="s">
        <v>2186</v>
      </c>
      <c r="E3" s="3079" t="s">
        <v>2205</v>
      </c>
      <c r="F3" s="3079" t="s">
        <v>2187</v>
      </c>
      <c r="G3" s="3079" t="s">
        <v>2188</v>
      </c>
      <c r="H3" s="3079" t="s">
        <v>2189</v>
      </c>
      <c r="I3" s="3081" t="s">
        <v>2190</v>
      </c>
      <c r="J3" s="1550"/>
    </row>
    <row r="4" spans="2:10" s="2221" customFormat="1">
      <c r="B4" s="3079"/>
      <c r="C4" s="3082"/>
      <c r="D4" s="3079"/>
      <c r="E4" s="3079"/>
      <c r="F4" s="3079"/>
      <c r="G4" s="3079"/>
      <c r="H4" s="3079"/>
      <c r="I4" s="3081"/>
      <c r="J4" s="1550"/>
    </row>
    <row r="5" spans="2:10" s="2221" customFormat="1">
      <c r="B5" s="3079"/>
      <c r="C5" s="3082"/>
      <c r="D5" s="3079"/>
      <c r="E5" s="3079"/>
      <c r="F5" s="3079"/>
      <c r="G5" s="3079"/>
      <c r="H5" s="3079"/>
      <c r="I5" s="3081"/>
      <c r="J5" s="1550"/>
    </row>
    <row r="6" spans="2:10" s="2221" customFormat="1">
      <c r="B6" s="3079"/>
      <c r="C6" s="3083"/>
      <c r="D6" s="3080"/>
      <c r="E6" s="3080"/>
      <c r="F6" s="3080"/>
      <c r="G6" s="3080"/>
      <c r="H6" s="3079"/>
      <c r="I6" s="3081"/>
      <c r="J6" s="1550"/>
    </row>
    <row r="7" spans="2:10" s="2221" customFormat="1" ht="12.75">
      <c r="B7" s="2222"/>
      <c r="C7" s="2223"/>
      <c r="D7" s="2224"/>
      <c r="E7" s="2224"/>
      <c r="F7" s="2225"/>
      <c r="G7" s="2224"/>
      <c r="H7" s="2226"/>
      <c r="I7" s="2227"/>
      <c r="J7" s="1550"/>
    </row>
    <row r="8" spans="2:10" s="1915" customFormat="1">
      <c r="B8" s="2229"/>
      <c r="C8" s="2186"/>
      <c r="D8" s="2186"/>
      <c r="E8" s="2186"/>
      <c r="F8" s="2230"/>
      <c r="G8" s="2231"/>
      <c r="H8" s="2232"/>
      <c r="I8" s="2232"/>
      <c r="J8" s="1550"/>
    </row>
    <row r="9" spans="2:10" s="1915" customFormat="1">
      <c r="B9" s="2213" t="s">
        <v>2207</v>
      </c>
      <c r="C9" s="2228">
        <v>735</v>
      </c>
      <c r="D9" s="2261">
        <v>100000</v>
      </c>
      <c r="E9" s="2261">
        <v>90000</v>
      </c>
      <c r="F9" s="2212" t="s">
        <v>2192</v>
      </c>
      <c r="G9" s="2211">
        <v>44881</v>
      </c>
      <c r="H9" s="2208" t="s">
        <v>2193</v>
      </c>
      <c r="I9" s="2208" t="s">
        <v>1428</v>
      </c>
      <c r="J9" s="1550"/>
    </row>
    <row r="10" spans="2:10" s="1915" customFormat="1">
      <c r="B10" s="2247" t="s">
        <v>2208</v>
      </c>
      <c r="C10" s="2228"/>
      <c r="D10" s="2261"/>
      <c r="E10" s="2261"/>
      <c r="F10" s="2212"/>
      <c r="G10" s="2211"/>
      <c r="H10" s="2208"/>
      <c r="I10" s="2208"/>
      <c r="J10" s="1550"/>
    </row>
    <row r="11" spans="2:10" s="1915" customFormat="1">
      <c r="B11" s="2213"/>
      <c r="C11" s="2228"/>
      <c r="D11" s="2261"/>
      <c r="E11" s="2261"/>
      <c r="F11" s="2212"/>
      <c r="G11" s="2211"/>
      <c r="H11" s="2208"/>
      <c r="I11" s="2208"/>
      <c r="J11" s="1550"/>
    </row>
    <row r="12" spans="2:10" s="1915" customFormat="1">
      <c r="B12" s="2213" t="s">
        <v>2209</v>
      </c>
      <c r="C12" s="2228">
        <v>8300</v>
      </c>
      <c r="D12" s="2261">
        <v>5000</v>
      </c>
      <c r="E12" s="2261">
        <v>4991</v>
      </c>
      <c r="F12" s="2210" t="s">
        <v>2194</v>
      </c>
      <c r="G12" s="2211">
        <v>45565</v>
      </c>
      <c r="H12" s="2208" t="s">
        <v>2191</v>
      </c>
      <c r="I12" s="2208" t="s">
        <v>2195</v>
      </c>
      <c r="J12" s="1550"/>
    </row>
    <row r="13" spans="2:10" s="1915" customFormat="1">
      <c r="B13" s="2247" t="s">
        <v>2212</v>
      </c>
      <c r="C13" s="2228"/>
      <c r="D13" s="2261"/>
      <c r="E13" s="2261"/>
      <c r="F13" s="2210"/>
      <c r="G13" s="2211"/>
      <c r="H13" s="2208"/>
      <c r="I13" s="2208"/>
      <c r="J13" s="1550"/>
    </row>
    <row r="14" spans="2:10" s="1915" customFormat="1">
      <c r="B14" s="2214"/>
      <c r="C14" s="2228"/>
      <c r="D14" s="2261"/>
      <c r="E14" s="2261"/>
      <c r="F14" s="2210"/>
      <c r="G14" s="2211"/>
      <c r="H14" s="2208"/>
      <c r="I14" s="2208"/>
      <c r="J14" s="1550"/>
    </row>
    <row r="15" spans="2:10" s="1915" customFormat="1">
      <c r="B15" s="2215" t="s">
        <v>2210</v>
      </c>
      <c r="C15" s="2228">
        <v>475</v>
      </c>
      <c r="D15" s="2261">
        <v>100000</v>
      </c>
      <c r="E15" s="2261">
        <v>99900</v>
      </c>
      <c r="F15" s="2210" t="s">
        <v>2196</v>
      </c>
      <c r="G15" s="2211">
        <v>46379</v>
      </c>
      <c r="H15" s="2208" t="s">
        <v>2191</v>
      </c>
      <c r="I15" s="2208" t="s">
        <v>2195</v>
      </c>
      <c r="J15" s="1550"/>
    </row>
    <row r="16" spans="2:10" s="2249" customFormat="1" ht="11.25">
      <c r="B16" s="2248" t="s">
        <v>2211</v>
      </c>
    </row>
  </sheetData>
  <mergeCells count="8">
    <mergeCell ref="B3:B6"/>
    <mergeCell ref="F3:F6"/>
    <mergeCell ref="G3:G6"/>
    <mergeCell ref="I3:I6"/>
    <mergeCell ref="H3:H6"/>
    <mergeCell ref="C3:C6"/>
    <mergeCell ref="D3:D6"/>
    <mergeCell ref="E3:E6"/>
  </mergeCells>
  <printOptions horizontalCentered="1"/>
  <pageMargins left="0.75" right="0.5" top="0.5" bottom="0.4"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S216"/>
  <sheetViews>
    <sheetView showGridLines="0" view="pageBreakPreview" zoomScaleNormal="100" zoomScaleSheetLayoutView="100" workbookViewId="0">
      <selection activeCell="A154" sqref="A154"/>
    </sheetView>
  </sheetViews>
  <sheetFormatPr defaultColWidth="6.5" defaultRowHeight="12" zeroHeight="1"/>
  <cols>
    <col min="1" max="1" width="5.125" style="1685" customWidth="1"/>
    <col min="2" max="2" width="24" style="1727" customWidth="1"/>
    <col min="3" max="3" width="6.25" style="1727" customWidth="1"/>
    <col min="4" max="4" width="6.625" style="1727" customWidth="1"/>
    <col min="5" max="10" width="6.25" style="1727" customWidth="1"/>
    <col min="11" max="12" width="7.375" style="1727" customWidth="1"/>
    <col min="13" max="13" width="6.875" style="1727" customWidth="1"/>
    <col min="14" max="15" width="8.5" style="1727" customWidth="1"/>
    <col min="16" max="16" width="9.25" style="1727" customWidth="1"/>
    <col min="17" max="17" width="8.5" style="1727" customWidth="1"/>
    <col min="18" max="18" width="10.75" style="1727" customWidth="1"/>
    <col min="19" max="19" width="6.5" style="1727"/>
    <col min="20" max="20" width="17.5" style="1727" customWidth="1"/>
    <col min="21" max="16384" width="6.5" style="1727"/>
  </cols>
  <sheetData>
    <row r="1" spans="1:15"/>
    <row r="2" spans="1:15"/>
    <row r="3" spans="1:15">
      <c r="A3" s="1578"/>
      <c r="B3" s="1579"/>
      <c r="C3" s="1719"/>
      <c r="D3" s="1719"/>
      <c r="E3" s="1719"/>
      <c r="F3" s="1719"/>
      <c r="G3" s="1719"/>
      <c r="H3" s="1719"/>
      <c r="I3" s="1719"/>
      <c r="J3" s="1719"/>
      <c r="K3" s="1719"/>
      <c r="L3" s="1719"/>
      <c r="M3" s="1719"/>
    </row>
    <row r="4" spans="1:15">
      <c r="A4" s="1578"/>
      <c r="B4" s="1579"/>
      <c r="C4" s="1719"/>
      <c r="D4" s="1719"/>
      <c r="E4" s="1719"/>
      <c r="F4" s="1719"/>
      <c r="G4" s="1719"/>
      <c r="H4" s="1719"/>
      <c r="I4" s="1719"/>
      <c r="J4" s="1719"/>
      <c r="K4" s="1719"/>
      <c r="L4" s="1719"/>
      <c r="M4" s="1719"/>
    </row>
    <row r="5" spans="1:15">
      <c r="A5" s="1797"/>
      <c r="B5" s="1580"/>
      <c r="C5" s="1719"/>
      <c r="D5" s="1719"/>
      <c r="E5" s="1719"/>
      <c r="F5" s="1719"/>
      <c r="G5" s="1719"/>
      <c r="H5" s="1719"/>
      <c r="I5" s="1719"/>
      <c r="J5" s="1719"/>
      <c r="K5" s="1719"/>
      <c r="L5" s="1719"/>
      <c r="M5" s="1719"/>
    </row>
    <row r="6" spans="1:15" s="1792" customFormat="1" ht="12.75">
      <c r="A6" s="1785"/>
      <c r="B6" s="3090" t="s">
        <v>863</v>
      </c>
      <c r="C6" s="3092" t="s">
        <v>864</v>
      </c>
      <c r="D6" s="3092"/>
      <c r="E6" s="3092"/>
      <c r="F6" s="3092"/>
      <c r="G6" s="3092"/>
      <c r="H6" s="3093" t="s">
        <v>2479</v>
      </c>
      <c r="I6" s="3090"/>
      <c r="J6" s="3090"/>
      <c r="K6" s="3094" t="s">
        <v>2213</v>
      </c>
      <c r="L6" s="3094" t="s">
        <v>1463</v>
      </c>
      <c r="M6" s="2143"/>
    </row>
    <row r="7" spans="1:15" s="1792" customFormat="1" ht="9.75">
      <c r="A7" s="1785"/>
      <c r="B7" s="3091"/>
      <c r="C7" s="3094" t="s">
        <v>2488</v>
      </c>
      <c r="D7" s="3095" t="s">
        <v>1773</v>
      </c>
      <c r="E7" s="3095" t="s">
        <v>1948</v>
      </c>
      <c r="F7" s="3095" t="s">
        <v>1949</v>
      </c>
      <c r="G7" s="3094" t="s">
        <v>2479</v>
      </c>
      <c r="H7" s="3095" t="s">
        <v>1462</v>
      </c>
      <c r="I7" s="3095" t="s">
        <v>866</v>
      </c>
      <c r="J7" s="3094" t="s">
        <v>2116</v>
      </c>
      <c r="K7" s="3094"/>
      <c r="L7" s="3094"/>
      <c r="M7" s="2143"/>
    </row>
    <row r="8" spans="1:15" s="1792" customFormat="1" ht="9.75">
      <c r="A8" s="1785"/>
      <c r="B8" s="3091"/>
      <c r="C8" s="3094"/>
      <c r="D8" s="3095"/>
      <c r="E8" s="3095"/>
      <c r="F8" s="3095"/>
      <c r="G8" s="3094"/>
      <c r="H8" s="3095"/>
      <c r="I8" s="3095"/>
      <c r="J8" s="3094"/>
      <c r="K8" s="3094"/>
      <c r="L8" s="3094"/>
      <c r="M8" s="2143"/>
    </row>
    <row r="9" spans="1:15" s="1792" customFormat="1" ht="9.75">
      <c r="A9" s="1785"/>
      <c r="B9" s="3091"/>
      <c r="C9" s="3094"/>
      <c r="D9" s="3095"/>
      <c r="E9" s="3095"/>
      <c r="F9" s="3095"/>
      <c r="G9" s="3094"/>
      <c r="H9" s="3095"/>
      <c r="I9" s="3095"/>
      <c r="J9" s="3094"/>
      <c r="K9" s="3094"/>
      <c r="L9" s="3094"/>
      <c r="M9" s="2143"/>
    </row>
    <row r="10" spans="1:15" s="1792" customFormat="1" ht="9.75">
      <c r="A10" s="1785"/>
      <c r="B10" s="3091"/>
      <c r="C10" s="3094"/>
      <c r="D10" s="3095"/>
      <c r="E10" s="3095"/>
      <c r="F10" s="3095"/>
      <c r="G10" s="3094"/>
      <c r="H10" s="3095"/>
      <c r="I10" s="3095"/>
      <c r="J10" s="3094"/>
      <c r="K10" s="3094"/>
      <c r="L10" s="3094"/>
      <c r="M10" s="2143"/>
    </row>
    <row r="11" spans="1:15" s="1792" customFormat="1" ht="9.75">
      <c r="A11" s="1785"/>
      <c r="B11" s="3091"/>
      <c r="C11" s="3094"/>
      <c r="D11" s="3095"/>
      <c r="E11" s="3095"/>
      <c r="F11" s="3095"/>
      <c r="G11" s="3094"/>
      <c r="H11" s="3095"/>
      <c r="I11" s="3095" t="s">
        <v>867</v>
      </c>
      <c r="J11" s="3094"/>
      <c r="K11" s="3094"/>
      <c r="L11" s="3094"/>
      <c r="M11" s="2143"/>
    </row>
    <row r="12" spans="1:15" s="1792" customFormat="1" ht="9.75">
      <c r="A12" s="1785"/>
      <c r="B12" s="3091"/>
      <c r="C12" s="3094"/>
      <c r="D12" s="3095"/>
      <c r="E12" s="3095"/>
      <c r="F12" s="3095"/>
      <c r="G12" s="3094"/>
      <c r="H12" s="3095"/>
      <c r="I12" s="3095"/>
      <c r="J12" s="3094"/>
      <c r="K12" s="3094"/>
      <c r="L12" s="3094"/>
      <c r="M12" s="2143"/>
    </row>
    <row r="13" spans="1:15" s="1995" customFormat="1" ht="12.75">
      <c r="A13" s="2052"/>
      <c r="B13" s="2111"/>
      <c r="C13" s="2092"/>
      <c r="D13" s="2093"/>
      <c r="E13" s="2093"/>
      <c r="F13" s="2093"/>
      <c r="G13" s="2094"/>
      <c r="H13" s="3088" t="s">
        <v>876</v>
      </c>
      <c r="I13" s="3088"/>
      <c r="J13" s="3088"/>
      <c r="K13" s="3088" t="s">
        <v>877</v>
      </c>
      <c r="L13" s="3089"/>
      <c r="M13" s="2298"/>
    </row>
    <row r="14" spans="1:15" s="2028" customFormat="1" ht="12" customHeight="1">
      <c r="A14" s="1953"/>
      <c r="B14" s="2104" t="s">
        <v>870</v>
      </c>
      <c r="C14" s="2053"/>
      <c r="D14" s="2054"/>
      <c r="E14" s="2054"/>
      <c r="F14" s="2054"/>
      <c r="G14" s="1993"/>
      <c r="H14" s="2105"/>
      <c r="I14" s="2105"/>
      <c r="J14" s="2105"/>
      <c r="K14" s="2106"/>
      <c r="L14" s="2106"/>
      <c r="M14" s="2106"/>
      <c r="N14" s="1973" t="s">
        <v>683</v>
      </c>
      <c r="O14" s="2057">
        <f>BS!$F$30</f>
        <v>931657</v>
      </c>
    </row>
    <row r="15" spans="1:15" s="2028" customFormat="1" ht="11.25">
      <c r="A15" s="1953"/>
      <c r="B15" s="2059" t="s">
        <v>2385</v>
      </c>
      <c r="C15" s="2081">
        <v>20</v>
      </c>
      <c r="D15" s="2082">
        <v>0</v>
      </c>
      <c r="E15" s="2082">
        <v>0</v>
      </c>
      <c r="F15" s="2082">
        <v>0</v>
      </c>
      <c r="G15" s="2080">
        <f>C15+D15-E15-F15</f>
        <v>20</v>
      </c>
      <c r="H15" s="2083">
        <v>19795.580000000002</v>
      </c>
      <c r="I15" s="2083">
        <v>19995.32</v>
      </c>
      <c r="J15" s="2078">
        <f>I15-H15</f>
        <v>199.73999999999796</v>
      </c>
      <c r="K15" s="2077">
        <f>(I15/BS!$F$30)*100</f>
        <v>2.1462104615754507</v>
      </c>
      <c r="L15" s="2077">
        <f>I15/BS!$F$12*100</f>
        <v>3.735050031366633</v>
      </c>
      <c r="M15" s="2039"/>
      <c r="O15" s="1941"/>
    </row>
    <row r="16" spans="1:15" s="2028" customFormat="1" ht="11.25">
      <c r="A16" s="1953"/>
      <c r="B16" s="2059" t="s">
        <v>2152</v>
      </c>
      <c r="C16" s="2084">
        <v>550</v>
      </c>
      <c r="D16" s="2082">
        <v>0</v>
      </c>
      <c r="E16" s="2082">
        <v>0</v>
      </c>
      <c r="F16" s="2082">
        <v>0</v>
      </c>
      <c r="G16" s="2080">
        <f>+C16+D16-E16-F16</f>
        <v>550</v>
      </c>
      <c r="H16" s="2083">
        <v>55450.01</v>
      </c>
      <c r="I16" s="2083">
        <v>55999.02</v>
      </c>
      <c r="J16" s="2078">
        <f>I16-H16</f>
        <v>549.00999999999476</v>
      </c>
      <c r="K16" s="2077">
        <f>(I16/BS!$F$30)*100</f>
        <v>6.010690629705997</v>
      </c>
      <c r="L16" s="2077">
        <f>I16/BS!$F$12*100</f>
        <v>10.460404805099428</v>
      </c>
      <c r="M16" s="2039"/>
      <c r="O16" s="1941"/>
    </row>
    <row r="17" spans="1:19" s="2028" customFormat="1" ht="11.25">
      <c r="A17" s="1953"/>
      <c r="B17" s="2140" t="s">
        <v>2388</v>
      </c>
      <c r="C17" s="2084"/>
      <c r="D17" s="2082"/>
      <c r="E17" s="2082"/>
      <c r="F17" s="2082"/>
      <c r="G17" s="2080"/>
      <c r="H17" s="2083"/>
      <c r="I17" s="2083"/>
      <c r="J17" s="2078"/>
      <c r="K17" s="2077"/>
      <c r="L17" s="2077"/>
      <c r="M17" s="2039"/>
      <c r="O17" s="1941"/>
    </row>
    <row r="18" spans="1:19" s="2028" customFormat="1" ht="11.25">
      <c r="A18" s="1953"/>
      <c r="B18" s="2059" t="s">
        <v>2495</v>
      </c>
      <c r="C18" s="2081">
        <v>400</v>
      </c>
      <c r="D18" s="2082">
        <v>0</v>
      </c>
      <c r="E18" s="2082">
        <v>0</v>
      </c>
      <c r="F18" s="2082">
        <v>0</v>
      </c>
      <c r="G18" s="2080">
        <f>+C18+D18-E18-F18</f>
        <v>400</v>
      </c>
      <c r="H18" s="2083">
        <v>39992</v>
      </c>
      <c r="I18" s="2083">
        <v>40043.269999999997</v>
      </c>
      <c r="J18" s="2078">
        <f>I18-H18</f>
        <v>51.269999999996799</v>
      </c>
      <c r="K18" s="2077">
        <f>(I18/BS!$F$30)*100</f>
        <v>4.2980699978640207</v>
      </c>
      <c r="L18" s="2077">
        <f>I18/BS!$F$12*100</f>
        <v>7.47993114736461</v>
      </c>
      <c r="M18" s="2039"/>
      <c r="O18" s="1941"/>
    </row>
    <row r="19" spans="1:19" s="2028" customFormat="1" ht="11.25">
      <c r="A19" s="1953"/>
      <c r="B19" s="2059"/>
      <c r="C19" s="2081"/>
      <c r="D19" s="2082"/>
      <c r="E19" s="2082"/>
      <c r="F19" s="2082"/>
      <c r="G19" s="2080"/>
      <c r="H19" s="2083"/>
      <c r="I19" s="2083"/>
      <c r="J19" s="2078"/>
      <c r="K19" s="2077"/>
      <c r="L19" s="2077"/>
      <c r="M19" s="2039"/>
      <c r="O19" s="1941"/>
    </row>
    <row r="20" spans="1:19" s="2028" customFormat="1" ht="11.25">
      <c r="A20" s="1953"/>
      <c r="B20" s="2104" t="s">
        <v>1994</v>
      </c>
      <c r="C20" s="2085"/>
      <c r="D20" s="2082"/>
      <c r="E20" s="2082"/>
      <c r="F20" s="2082"/>
      <c r="G20" s="2085"/>
      <c r="H20" s="2083"/>
      <c r="I20" s="2083"/>
      <c r="J20" s="2078"/>
      <c r="K20" s="2039"/>
      <c r="L20" s="2039"/>
      <c r="M20" s="2039"/>
      <c r="O20" s="1941"/>
    </row>
    <row r="21" spans="1:19" s="2028" customFormat="1" ht="11.25">
      <c r="A21" s="1953"/>
      <c r="B21" s="2059" t="s">
        <v>2120</v>
      </c>
      <c r="C21" s="2085">
        <v>17000</v>
      </c>
      <c r="D21" s="2082"/>
      <c r="E21" s="2082">
        <v>0</v>
      </c>
      <c r="F21" s="2082"/>
      <c r="G21" s="2085">
        <f>C21+D21-E21-F21</f>
        <v>17000</v>
      </c>
      <c r="H21" s="2083">
        <v>37724.406999999999</v>
      </c>
      <c r="I21" s="2083">
        <v>38460.375</v>
      </c>
      <c r="J21" s="2078">
        <f>I21-H21</f>
        <v>735.96800000000076</v>
      </c>
      <c r="K21" s="2077">
        <f>I21/$O$14*100</f>
        <v>4.1281689505901848</v>
      </c>
      <c r="L21" s="2077">
        <f>I21/BS!$F$12*100</f>
        <v>7.1842523575577921</v>
      </c>
      <c r="M21" s="2077"/>
      <c r="O21" s="1941"/>
    </row>
    <row r="22" spans="1:19" s="2028" customFormat="1" ht="11.25">
      <c r="A22" s="1953"/>
      <c r="B22" s="2140" t="s">
        <v>2389</v>
      </c>
      <c r="C22" s="2085"/>
      <c r="D22" s="2082"/>
      <c r="E22" s="2082"/>
      <c r="F22" s="2082"/>
      <c r="G22" s="2085"/>
      <c r="H22" s="2083"/>
      <c r="I22" s="2083"/>
      <c r="J22" s="2078"/>
      <c r="K22" s="2077"/>
      <c r="L22" s="2077"/>
      <c r="M22" s="2077"/>
      <c r="O22" s="1941"/>
    </row>
    <row r="23" spans="1:19" s="2028" customFormat="1" ht="11.25">
      <c r="A23" s="1953"/>
      <c r="B23" s="2059"/>
      <c r="C23" s="2081"/>
      <c r="D23" s="2082"/>
      <c r="E23" s="2082"/>
      <c r="F23" s="2082"/>
      <c r="G23" s="2080"/>
      <c r="H23" s="2083"/>
      <c r="I23" s="2083"/>
      <c r="J23" s="2078"/>
      <c r="K23" s="2077"/>
      <c r="L23" s="2077"/>
      <c r="M23" s="2039"/>
      <c r="O23" s="1941"/>
    </row>
    <row r="24" spans="1:19" s="2028" customFormat="1" ht="11.25">
      <c r="A24" s="1953"/>
      <c r="B24" s="2104" t="s">
        <v>880</v>
      </c>
      <c r="C24" s="2080"/>
      <c r="D24" s="2082"/>
      <c r="E24" s="2082"/>
      <c r="F24" s="2082"/>
      <c r="G24" s="2085"/>
      <c r="H24" s="2085"/>
      <c r="I24" s="2085"/>
      <c r="J24" s="2085"/>
      <c r="K24" s="1981"/>
      <c r="L24" s="2064"/>
      <c r="M24" s="2064"/>
    </row>
    <row r="25" spans="1:19" s="2028" customFormat="1" ht="11.25">
      <c r="A25" s="1953"/>
      <c r="B25" s="2113" t="s">
        <v>2121</v>
      </c>
      <c r="C25" s="2080">
        <v>20</v>
      </c>
      <c r="D25" s="2082">
        <v>0</v>
      </c>
      <c r="E25" s="2082">
        <v>0</v>
      </c>
      <c r="F25" s="2082">
        <v>0</v>
      </c>
      <c r="G25" s="2085">
        <f>C25+D25-E25-F25</f>
        <v>20</v>
      </c>
      <c r="H25" s="2085">
        <v>1000.471</v>
      </c>
      <c r="I25" s="2085">
        <v>1001.522</v>
      </c>
      <c r="J25" s="2078">
        <f>I25-H25</f>
        <v>1.0510000000000446</v>
      </c>
      <c r="K25" s="2077">
        <f>I25/$O$14*100</f>
        <v>0.10749900446194254</v>
      </c>
      <c r="L25" s="2077">
        <f>I25/BS!$F$12*100</f>
        <v>0.18708051571639631</v>
      </c>
      <c r="M25" s="2077"/>
      <c r="N25" s="2028">
        <f>22515+500</f>
        <v>23015</v>
      </c>
    </row>
    <row r="26" spans="1:19" s="2028" customFormat="1" ht="11.25">
      <c r="A26" s="1953"/>
      <c r="B26" s="2141" t="s">
        <v>2390</v>
      </c>
      <c r="C26" s="2080"/>
      <c r="D26" s="2082"/>
      <c r="E26" s="2082"/>
      <c r="F26" s="2082"/>
      <c r="G26" s="2085"/>
      <c r="H26" s="2085"/>
      <c r="I26" s="2085"/>
      <c r="J26" s="2078"/>
      <c r="K26" s="2077"/>
      <c r="L26" s="2077"/>
      <c r="M26" s="2077"/>
    </row>
    <row r="27" spans="1:19" s="2028" customFormat="1" ht="11.25">
      <c r="A27" s="1953"/>
      <c r="B27" s="2107" t="s">
        <v>1479</v>
      </c>
      <c r="C27" s="2080">
        <v>10415</v>
      </c>
      <c r="D27" s="2082">
        <v>0</v>
      </c>
      <c r="E27" s="2082">
        <v>0</v>
      </c>
      <c r="F27" s="2082">
        <v>0</v>
      </c>
      <c r="G27" s="2085">
        <f>C27+D27-E27-F27</f>
        <v>10415</v>
      </c>
      <c r="H27" s="2270">
        <v>10252</v>
      </c>
      <c r="I27" s="2083">
        <v>0</v>
      </c>
      <c r="J27" s="2085">
        <v>0</v>
      </c>
      <c r="K27" s="2039" t="s">
        <v>843</v>
      </c>
      <c r="L27" s="2039" t="s">
        <v>843</v>
      </c>
      <c r="M27" s="2039"/>
    </row>
    <row r="28" spans="1:19" s="2028" customFormat="1" ht="11.25">
      <c r="A28" s="1953"/>
      <c r="B28" s="1955" t="s">
        <v>2122</v>
      </c>
      <c r="C28" s="2080"/>
      <c r="D28" s="2082"/>
      <c r="E28" s="2082"/>
      <c r="F28" s="2082"/>
      <c r="G28" s="2085"/>
      <c r="H28" s="2179"/>
      <c r="I28" s="2083"/>
      <c r="J28" s="2085"/>
      <c r="K28" s="2039"/>
      <c r="L28" s="2039"/>
      <c r="M28" s="2039"/>
    </row>
    <row r="29" spans="1:19" s="2174" customFormat="1" ht="11.25">
      <c r="A29" s="2173"/>
      <c r="B29" s="2059" t="s">
        <v>2155</v>
      </c>
      <c r="C29" s="2175"/>
      <c r="D29" s="2175"/>
      <c r="E29" s="2175"/>
      <c r="F29" s="2175"/>
      <c r="G29" s="2175"/>
      <c r="H29" s="2178">
        <v>-10252</v>
      </c>
      <c r="J29" s="2175"/>
    </row>
    <row r="30" spans="1:19" s="2174" customFormat="1" ht="11.25">
      <c r="A30" s="2173"/>
      <c r="B30" s="2059"/>
      <c r="C30" s="2175"/>
      <c r="D30" s="2175"/>
      <c r="E30" s="2175"/>
      <c r="F30" s="2175"/>
      <c r="G30" s="2175"/>
      <c r="H30" s="2180">
        <f>SUM(H27:H29)</f>
        <v>0</v>
      </c>
      <c r="J30" s="2175"/>
    </row>
    <row r="31" spans="1:19" s="2028" customFormat="1" ht="11.25">
      <c r="A31" s="1953"/>
      <c r="B31" s="2107"/>
      <c r="C31" s="2080"/>
      <c r="D31" s="2082"/>
      <c r="E31" s="2082"/>
      <c r="F31" s="2082"/>
      <c r="G31" s="2085"/>
      <c r="H31" s="2085"/>
      <c r="I31" s="2085"/>
      <c r="J31" s="2085"/>
      <c r="K31" s="1981"/>
      <c r="L31" s="2064"/>
      <c r="M31" s="2064"/>
    </row>
    <row r="32" spans="1:19" s="2041" customFormat="1" thickBot="1">
      <c r="A32" s="2043"/>
      <c r="B32" s="2114" t="str">
        <f>'5.2.1'!B20</f>
        <v>As at September 30, 2021 (Unaudited)</v>
      </c>
      <c r="C32" s="2115"/>
      <c r="D32" s="2115"/>
      <c r="E32" s="2115"/>
      <c r="F32" s="2115"/>
      <c r="G32" s="2115"/>
      <c r="H32" s="2117">
        <f>SUM(H15:H31)</f>
        <v>153962.46799999999</v>
      </c>
      <c r="I32" s="2117">
        <f>SUM(I15:I31)</f>
        <v>155499.50699999998</v>
      </c>
      <c r="J32" s="2117">
        <f>SUM(J15:J31)</f>
        <v>1537.0389999999902</v>
      </c>
      <c r="K32" s="2109"/>
      <c r="L32" s="2109"/>
      <c r="M32" s="2109"/>
      <c r="N32" s="2056"/>
      <c r="O32" s="2069"/>
      <c r="P32" s="2056"/>
      <c r="Q32" s="2056"/>
      <c r="R32" s="2056"/>
      <c r="S32" s="2056"/>
    </row>
    <row r="33" spans="1:14" s="2028" customFormat="1" thickTop="1">
      <c r="A33" s="1953"/>
      <c r="B33" s="2047"/>
      <c r="C33" s="2115"/>
      <c r="D33" s="2115"/>
      <c r="E33" s="2115"/>
      <c r="F33" s="2115"/>
      <c r="G33" s="2115"/>
      <c r="H33" s="2115"/>
      <c r="I33" s="2115"/>
      <c r="J33" s="2115"/>
      <c r="K33" s="2110"/>
      <c r="L33" s="2110"/>
      <c r="M33" s="2110"/>
    </row>
    <row r="34" spans="1:14" s="2028" customFormat="1" thickBot="1">
      <c r="A34" s="1953"/>
      <c r="B34" s="2049" t="str">
        <f>'5.2.1'!B22</f>
        <v>As at June 30, 2021 (Audited)</v>
      </c>
      <c r="C34" s="2115"/>
      <c r="D34" s="2115"/>
      <c r="E34" s="2115"/>
      <c r="F34" s="2115"/>
      <c r="G34" s="2115"/>
      <c r="H34" s="2091">
        <v>154652</v>
      </c>
      <c r="I34" s="2091">
        <v>156233</v>
      </c>
      <c r="J34" s="2091">
        <f>I34-H34</f>
        <v>1581</v>
      </c>
      <c r="K34" s="2029"/>
      <c r="L34" s="2029"/>
      <c r="M34" s="2029"/>
    </row>
    <row r="35" spans="1:14" s="2028" customFormat="1" thickTop="1">
      <c r="A35" s="1953"/>
      <c r="B35" s="2049"/>
      <c r="C35" s="2115"/>
      <c r="D35" s="2115"/>
      <c r="E35" s="2115"/>
      <c r="F35" s="2115"/>
      <c r="G35" s="2115"/>
      <c r="H35" s="2083"/>
      <c r="I35" s="2083"/>
      <c r="J35" s="2083"/>
      <c r="K35" s="2029"/>
      <c r="L35" s="2029"/>
      <c r="M35" s="2029"/>
    </row>
    <row r="36" spans="1:14" s="2028" customFormat="1" ht="11.25">
      <c r="A36" s="1953"/>
      <c r="B36" s="2049" t="s">
        <v>2386</v>
      </c>
      <c r="C36" s="2115"/>
      <c r="D36" s="2115"/>
      <c r="E36" s="2115"/>
      <c r="F36" s="2115"/>
      <c r="G36" s="2115"/>
      <c r="H36" s="2083"/>
      <c r="I36" s="2083"/>
      <c r="J36" s="2083"/>
      <c r="K36" s="2029"/>
      <c r="L36" s="2029"/>
      <c r="M36" s="2029"/>
    </row>
    <row r="37" spans="1:14">
      <c r="A37" s="1797"/>
      <c r="B37" s="2049" t="s">
        <v>2387</v>
      </c>
      <c r="C37" s="1586"/>
      <c r="D37" s="1586"/>
      <c r="E37" s="1586"/>
      <c r="F37" s="1586"/>
      <c r="G37" s="1586"/>
      <c r="H37" s="1819"/>
      <c r="I37" s="1819"/>
      <c r="J37" s="1819"/>
      <c r="K37" s="1589"/>
      <c r="L37" s="1589"/>
      <c r="M37" s="1589"/>
      <c r="N37" s="1926"/>
    </row>
    <row r="38" spans="1:14" hidden="1">
      <c r="A38" s="1797"/>
      <c r="B38" s="1918"/>
      <c r="C38" s="1918"/>
      <c r="D38" s="1918"/>
      <c r="E38" s="1918"/>
      <c r="F38" s="1918"/>
      <c r="G38" s="1918"/>
      <c r="H38" s="1918"/>
      <c r="I38" s="1918"/>
      <c r="J38" s="1918"/>
      <c r="K38" s="1918"/>
      <c r="L38" s="1918"/>
      <c r="M38" s="1918"/>
    </row>
    <row r="39" spans="1:14">
      <c r="A39" s="1918"/>
      <c r="B39" s="2049" t="s">
        <v>2391</v>
      </c>
      <c r="C39" s="1586"/>
      <c r="D39" s="1586"/>
      <c r="E39" s="1586"/>
      <c r="F39" s="1586"/>
      <c r="G39" s="1586"/>
      <c r="H39" s="1819"/>
      <c r="I39" s="1819"/>
      <c r="J39" s="1819"/>
      <c r="K39" s="1589"/>
      <c r="L39" s="1589"/>
      <c r="M39" s="1589"/>
      <c r="N39" s="1926"/>
    </row>
    <row r="40" spans="1:14">
      <c r="A40" s="1918"/>
      <c r="B40" s="1592"/>
      <c r="C40" s="1586"/>
      <c r="D40" s="1586"/>
      <c r="E40" s="1586"/>
      <c r="F40" s="1586"/>
      <c r="G40" s="1586"/>
      <c r="H40" s="1819"/>
      <c r="I40" s="1819"/>
      <c r="J40" s="1819"/>
      <c r="K40" s="1589"/>
      <c r="L40" s="1589"/>
      <c r="M40" s="1589"/>
      <c r="N40" s="1781" t="s">
        <v>817</v>
      </c>
    </row>
    <row r="41" spans="1:14">
      <c r="A41" s="1592"/>
      <c r="B41" s="1591"/>
      <c r="C41" s="1586"/>
      <c r="D41" s="1586"/>
      <c r="E41" s="1586"/>
      <c r="F41" s="1586"/>
      <c r="G41" s="1586"/>
      <c r="H41" s="1819"/>
      <c r="I41" s="1819"/>
      <c r="J41" s="1819"/>
      <c r="K41" s="1589"/>
      <c r="L41" s="1589"/>
      <c r="M41" s="1589"/>
      <c r="N41" s="1781"/>
    </row>
    <row r="42" spans="1:14" hidden="1">
      <c r="A42" s="1914">
        <f>'1-4.1'!A237+0.1</f>
        <v>7.3999999999999986</v>
      </c>
      <c r="B42" s="2279" t="s">
        <v>1924</v>
      </c>
      <c r="C42" s="2279"/>
      <c r="D42" s="2279"/>
      <c r="E42" s="1918"/>
      <c r="F42" s="1918"/>
      <c r="G42" s="1918"/>
      <c r="H42" s="1918"/>
      <c r="I42" s="1918"/>
      <c r="J42" s="1918"/>
      <c r="K42" s="1918"/>
      <c r="L42" s="1918"/>
      <c r="M42" s="1918"/>
    </row>
    <row r="43" spans="1:14" ht="8.1" hidden="1" customHeight="1">
      <c r="A43" s="1918"/>
      <c r="B43" s="1918"/>
      <c r="C43" s="1918"/>
      <c r="D43" s="1918"/>
      <c r="E43" s="1918"/>
      <c r="F43" s="1918"/>
      <c r="G43" s="1918"/>
      <c r="H43" s="1918"/>
      <c r="I43" s="1918"/>
      <c r="J43" s="1918"/>
      <c r="K43" s="1918"/>
      <c r="L43" s="1918"/>
      <c r="M43" s="1918"/>
    </row>
    <row r="44" spans="1:14" s="1730" customFormat="1" ht="12" hidden="1" customHeight="1">
      <c r="A44" s="1915"/>
      <c r="B44" s="3084" t="s">
        <v>849</v>
      </c>
      <c r="C44" s="3086" t="s">
        <v>1738</v>
      </c>
      <c r="D44" s="3100" t="s">
        <v>850</v>
      </c>
      <c r="E44" s="3101"/>
      <c r="F44" s="3101"/>
      <c r="G44" s="3102"/>
      <c r="H44" s="3100" t="s">
        <v>1920</v>
      </c>
      <c r="I44" s="3101"/>
      <c r="J44" s="3102"/>
      <c r="K44" s="3103" t="s">
        <v>851</v>
      </c>
      <c r="L44" s="3096" t="s">
        <v>852</v>
      </c>
      <c r="M44" s="2142"/>
      <c r="N44" s="1727"/>
    </row>
    <row r="45" spans="1:14" s="1916" customFormat="1" ht="37.5" hidden="1" customHeight="1">
      <c r="A45" s="1593"/>
      <c r="B45" s="3085"/>
      <c r="C45" s="3087"/>
      <c r="D45" s="1818" t="s">
        <v>1588</v>
      </c>
      <c r="E45" s="1594" t="s">
        <v>1950</v>
      </c>
      <c r="F45" s="1594" t="s">
        <v>1946</v>
      </c>
      <c r="G45" s="1818" t="s">
        <v>1589</v>
      </c>
      <c r="H45" s="1818" t="s">
        <v>881</v>
      </c>
      <c r="I45" s="1818" t="s">
        <v>854</v>
      </c>
      <c r="J45" s="1818" t="s">
        <v>855</v>
      </c>
      <c r="K45" s="3104"/>
      <c r="L45" s="3097"/>
      <c r="M45" s="2142"/>
      <c r="N45" s="1727"/>
    </row>
    <row r="46" spans="1:14" s="1730" customFormat="1" hidden="1">
      <c r="A46" s="1666"/>
      <c r="B46" s="1595"/>
      <c r="C46" s="1915"/>
      <c r="D46" s="3098" t="s">
        <v>882</v>
      </c>
      <c r="E46" s="3098"/>
      <c r="F46" s="3098"/>
      <c r="G46" s="3098"/>
      <c r="H46" s="3098"/>
      <c r="I46" s="3098"/>
      <c r="J46" s="3098"/>
      <c r="K46" s="3099" t="s">
        <v>857</v>
      </c>
      <c r="L46" s="3099"/>
      <c r="M46" s="1654"/>
      <c r="N46" s="1917">
        <f>'1-4.1'!G239+'1-4.1'!G240</f>
        <v>307807</v>
      </c>
    </row>
    <row r="47" spans="1:14" ht="8.1" hidden="1" customHeight="1">
      <c r="A47" s="1596"/>
      <c r="B47" s="1918"/>
      <c r="C47" s="1918"/>
      <c r="D47" s="1918"/>
      <c r="E47" s="1918"/>
      <c r="F47" s="1918"/>
      <c r="G47" s="1918"/>
      <c r="H47" s="1918"/>
      <c r="I47" s="1918"/>
      <c r="J47" s="1918"/>
      <c r="K47" s="1918"/>
      <c r="L47" s="1918"/>
      <c r="M47" s="1918"/>
    </row>
    <row r="48" spans="1:14" ht="8.1" hidden="1" customHeight="1">
      <c r="A48" s="1596"/>
      <c r="B48" s="1597" t="s">
        <v>1951</v>
      </c>
      <c r="C48" s="1918"/>
      <c r="D48" s="1918"/>
      <c r="E48" s="1918"/>
      <c r="F48" s="1918"/>
      <c r="G48" s="1918"/>
      <c r="H48" s="1918"/>
      <c r="I48" s="1918"/>
      <c r="J48" s="1918"/>
      <c r="K48" s="1918"/>
      <c r="L48" s="1918"/>
      <c r="M48" s="1918"/>
    </row>
    <row r="49" spans="1:17" hidden="1">
      <c r="A49" s="1918"/>
      <c r="B49" s="1918" t="s">
        <v>1882</v>
      </c>
      <c r="C49" s="1598">
        <v>41473</v>
      </c>
      <c r="D49" s="1711">
        <v>400</v>
      </c>
      <c r="E49" s="1711">
        <v>0</v>
      </c>
      <c r="F49" s="1711">
        <v>400</v>
      </c>
      <c r="G49" s="1711">
        <f>D49+E49-F49</f>
        <v>0</v>
      </c>
      <c r="H49" s="1711">
        <v>0</v>
      </c>
      <c r="I49" s="1711">
        <v>0</v>
      </c>
      <c r="J49" s="1711">
        <v>0</v>
      </c>
      <c r="K49" s="1583">
        <v>0</v>
      </c>
      <c r="L49" s="1583">
        <v>0</v>
      </c>
      <c r="M49" s="1583"/>
      <c r="P49" s="1789" t="s">
        <v>683</v>
      </c>
      <c r="Q49" s="1926">
        <f>BS!$F$30</f>
        <v>931657</v>
      </c>
    </row>
    <row r="50" spans="1:17" hidden="1">
      <c r="A50" s="1918"/>
      <c r="B50" s="1918" t="s">
        <v>1882</v>
      </c>
      <c r="C50" s="1598">
        <v>42089</v>
      </c>
      <c r="D50" s="1711">
        <v>400</v>
      </c>
      <c r="E50" s="1711">
        <v>0</v>
      </c>
      <c r="F50" s="1711">
        <v>400</v>
      </c>
      <c r="G50" s="1711">
        <f>D50+E50-F50</f>
        <v>0</v>
      </c>
      <c r="H50" s="1711">
        <v>0</v>
      </c>
      <c r="I50" s="1711">
        <v>0</v>
      </c>
      <c r="J50" s="1711">
        <v>0</v>
      </c>
      <c r="K50" s="1583">
        <v>0</v>
      </c>
      <c r="L50" s="1583">
        <v>0</v>
      </c>
      <c r="M50" s="1583"/>
      <c r="P50" s="1789" t="s">
        <v>871</v>
      </c>
      <c r="Q50" s="1926">
        <f>BS!$F$12</f>
        <v>535342.76199999999</v>
      </c>
    </row>
    <row r="51" spans="1:17" hidden="1">
      <c r="A51" s="1918"/>
      <c r="B51" s="1918"/>
      <c r="C51" s="1918"/>
      <c r="D51" s="1711"/>
      <c r="E51" s="1711"/>
      <c r="F51" s="1711"/>
      <c r="G51" s="1711"/>
      <c r="H51" s="1711"/>
      <c r="I51" s="1711"/>
      <c r="J51" s="1711"/>
      <c r="K51" s="1582"/>
      <c r="L51" s="1582"/>
      <c r="M51" s="1582"/>
      <c r="P51" s="1789"/>
      <c r="Q51" s="1926"/>
    </row>
    <row r="52" spans="1:17" ht="5.0999999999999996" hidden="1" customHeight="1">
      <c r="A52" s="1918"/>
      <c r="B52" s="1599"/>
      <c r="C52" s="1918"/>
      <c r="D52" s="1918"/>
      <c r="E52" s="1918"/>
      <c r="F52" s="1918"/>
      <c r="G52" s="1918"/>
      <c r="H52" s="1918"/>
      <c r="I52" s="1918"/>
      <c r="J52" s="1918"/>
      <c r="K52" s="1813"/>
      <c r="L52" s="1918"/>
      <c r="M52" s="1918"/>
    </row>
    <row r="53" spans="1:17" s="1922" customFormat="1" ht="14.25" hidden="1" customHeight="1" thickBot="1">
      <c r="A53" s="1919"/>
      <c r="B53" s="1585" t="s">
        <v>1921</v>
      </c>
      <c r="C53" s="1919"/>
      <c r="D53" s="1919"/>
      <c r="E53" s="1919"/>
      <c r="F53" s="1919"/>
      <c r="G53" s="1919"/>
      <c r="H53" s="1920">
        <f>SUM(H49:H52)</f>
        <v>0</v>
      </c>
      <c r="I53" s="1920">
        <f>SUM(I49:I52)</f>
        <v>0</v>
      </c>
      <c r="J53" s="1920">
        <f>SUM(J49:J52)</f>
        <v>0</v>
      </c>
      <c r="K53" s="1813"/>
      <c r="L53" s="1919"/>
      <c r="M53" s="1919"/>
      <c r="P53" s="1704"/>
      <c r="Q53" s="1704"/>
    </row>
    <row r="54" spans="1:17" ht="5.0999999999999996" hidden="1" customHeight="1" thickTop="1">
      <c r="A54" s="1918"/>
      <c r="B54" s="1588"/>
      <c r="C54" s="1918"/>
      <c r="D54" s="1918"/>
      <c r="E54" s="1918"/>
      <c r="F54" s="1918"/>
      <c r="G54" s="1918"/>
      <c r="H54" s="1918"/>
      <c r="I54" s="1918"/>
      <c r="J54" s="1918"/>
      <c r="K54" s="1813"/>
      <c r="L54" s="1918"/>
      <c r="M54" s="1918"/>
    </row>
    <row r="55" spans="1:17" ht="10.5" hidden="1" customHeight="1" thickBot="1">
      <c r="A55" s="1918"/>
      <c r="B55" s="1590" t="s">
        <v>1537</v>
      </c>
      <c r="C55" s="1918"/>
      <c r="D55" s="1918"/>
      <c r="E55" s="1918"/>
      <c r="F55" s="1918"/>
      <c r="G55" s="1918"/>
      <c r="H55" s="1923">
        <v>851</v>
      </c>
      <c r="I55" s="1923">
        <v>811</v>
      </c>
      <c r="J55" s="1923">
        <v>-40</v>
      </c>
      <c r="K55" s="1813"/>
      <c r="L55" s="1918"/>
      <c r="M55" s="1918"/>
      <c r="N55" s="1924"/>
    </row>
    <row r="56" spans="1:17" ht="22.5" hidden="1" customHeight="1">
      <c r="A56" s="1592"/>
      <c r="B56" s="1591"/>
      <c r="C56" s="1586"/>
      <c r="D56" s="1586"/>
      <c r="E56" s="1586"/>
      <c r="F56" s="1586"/>
      <c r="G56" s="1586"/>
      <c r="H56" s="1819"/>
      <c r="I56" s="1819"/>
      <c r="J56" s="1819"/>
      <c r="K56" s="1589"/>
      <c r="L56" s="1589"/>
      <c r="M56" s="1589"/>
      <c r="N56" s="1781"/>
    </row>
    <row r="57" spans="1:17"/>
    <row r="58" spans="1:17"/>
    <row r="59" spans="1:17"/>
    <row r="60" spans="1:17"/>
    <row r="61" spans="1:17"/>
    <row r="62" spans="1:17"/>
    <row r="63" spans="1:17"/>
    <row r="64" spans="1:17"/>
    <row r="65"/>
    <row r="66"/>
    <row r="67"/>
    <row r="68"/>
    <row r="69"/>
    <row r="70"/>
    <row r="71"/>
    <row r="72"/>
    <row r="73"/>
    <row r="74"/>
    <row r="75"/>
    <row r="76"/>
    <row r="77"/>
    <row r="78"/>
    <row r="79"/>
    <row r="80"/>
    <row r="81" spans="1:14">
      <c r="A81" s="1592"/>
      <c r="B81" s="1601"/>
      <c r="C81" s="1586"/>
      <c r="D81" s="1586"/>
      <c r="E81" s="1586"/>
      <c r="F81" s="1600"/>
      <c r="G81" s="1600"/>
      <c r="H81" s="1600"/>
      <c r="I81" s="1819"/>
      <c r="J81" s="1819"/>
      <c r="K81" s="1589"/>
      <c r="L81" s="1589"/>
      <c r="M81" s="1589"/>
      <c r="N81" s="1781"/>
    </row>
    <row r="82" spans="1:14">
      <c r="A82" s="1592"/>
      <c r="B82" s="1601"/>
      <c r="C82" s="1586"/>
      <c r="D82" s="1586"/>
      <c r="E82" s="1586"/>
      <c r="F82" s="1600"/>
      <c r="G82" s="1600"/>
      <c r="H82" s="1600"/>
      <c r="I82" s="1819"/>
      <c r="J82" s="1819"/>
      <c r="K82" s="1589"/>
      <c r="L82" s="1589"/>
      <c r="M82" s="1589"/>
      <c r="N82" s="1781"/>
    </row>
    <row r="83" spans="1:14"/>
    <row r="84" spans="1:14"/>
    <row r="85" spans="1:14"/>
    <row r="86" spans="1:14"/>
    <row r="87" spans="1:14"/>
    <row r="88" spans="1:14"/>
    <row r="89" spans="1:14"/>
    <row r="90" spans="1:14"/>
    <row r="91" spans="1:14"/>
    <row r="92" spans="1:14"/>
    <row r="93" spans="1:14"/>
    <row r="94" spans="1:14"/>
    <row r="95" spans="1:14"/>
    <row r="96" spans="1:14"/>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sheetData>
  <mergeCells count="23">
    <mergeCell ref="H13:J13"/>
    <mergeCell ref="L44:L45"/>
    <mergeCell ref="D46:J46"/>
    <mergeCell ref="K46:L46"/>
    <mergeCell ref="D44:G44"/>
    <mergeCell ref="H44:J44"/>
    <mergeCell ref="K44:K45"/>
    <mergeCell ref="B44:B45"/>
    <mergeCell ref="C44:C45"/>
    <mergeCell ref="K13:L13"/>
    <mergeCell ref="B6:B12"/>
    <mergeCell ref="C6:G6"/>
    <mergeCell ref="H6:J6"/>
    <mergeCell ref="K6:K12"/>
    <mergeCell ref="L6:L12"/>
    <mergeCell ref="C7:C12"/>
    <mergeCell ref="D7:D12"/>
    <mergeCell ref="E7:E12"/>
    <mergeCell ref="F7:F12"/>
    <mergeCell ref="G7:G12"/>
    <mergeCell ref="H7:H12"/>
    <mergeCell ref="I7:I12"/>
    <mergeCell ref="J7:J12"/>
  </mergeCells>
  <printOptions horizontalCentered="1"/>
  <pageMargins left="0.75" right="0.5" top="0.5" bottom="0.4" header="0.54" footer="0.23"/>
  <pageSetup paperSize="9" scale="89" orientation="portrait" r:id="rId1"/>
  <headerFooter alignWithMargins="0"/>
  <rowBreaks count="1" manualBreakCount="1">
    <brk id="99"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R136"/>
  <sheetViews>
    <sheetView showGridLines="0" view="pageBreakPreview" zoomScaleNormal="100" zoomScaleSheetLayoutView="100" workbookViewId="0">
      <selection activeCell="R136" sqref="R136"/>
    </sheetView>
  </sheetViews>
  <sheetFormatPr defaultColWidth="9" defaultRowHeight="12.75" customHeight="1"/>
  <cols>
    <col min="1" max="1" width="5.75" style="886" customWidth="1"/>
    <col min="2" max="2" width="7" style="865" customWidth="1"/>
    <col min="3" max="3" width="54" style="865" customWidth="1"/>
    <col min="4" max="4" width="8.375" style="1000" customWidth="1"/>
    <col min="5" max="5" width="1.375" style="1000" customWidth="1"/>
    <col min="6" max="6" width="13.625" style="865" customWidth="1"/>
    <col min="7" max="7" width="1" style="865" customWidth="1"/>
    <col min="8" max="8" width="13.625" style="865" customWidth="1"/>
    <col min="9" max="9" width="13.375" style="865" customWidth="1"/>
    <col min="10" max="10" width="16.5" style="865" customWidth="1"/>
    <col min="11" max="11" width="13.375" style="865" customWidth="1"/>
    <col min="12" max="12" width="20.5" style="865" customWidth="1"/>
    <col min="13" max="13" width="16.375" style="865" customWidth="1"/>
    <col min="14" max="16384" width="9" style="865"/>
  </cols>
  <sheetData>
    <row r="2" spans="1:18" s="861" customFormat="1" ht="12.75" customHeight="1">
      <c r="A2" s="860"/>
      <c r="B2" s="3111"/>
      <c r="C2" s="3112"/>
      <c r="D2" s="3112"/>
      <c r="E2" s="3112"/>
      <c r="F2" s="3112"/>
      <c r="G2" s="3112"/>
      <c r="H2" s="3112"/>
      <c r="I2" s="1127"/>
      <c r="J2" s="1127"/>
      <c r="L2" s="1140"/>
      <c r="P2" s="1141"/>
      <c r="Q2" s="1141"/>
      <c r="R2" s="1141"/>
    </row>
    <row r="3" spans="1:18" s="861" customFormat="1">
      <c r="A3" s="860"/>
      <c r="B3" s="3112"/>
      <c r="C3" s="3112"/>
      <c r="D3" s="3112"/>
      <c r="E3" s="3112"/>
      <c r="F3" s="3112"/>
      <c r="G3" s="3112"/>
      <c r="H3" s="3112"/>
      <c r="I3" s="1127"/>
      <c r="J3" s="1127"/>
      <c r="L3" s="1140"/>
      <c r="P3" s="1141"/>
      <c r="Q3" s="1141"/>
      <c r="R3" s="1141"/>
    </row>
    <row r="4" spans="1:18" s="861" customFormat="1">
      <c r="A4" s="860"/>
      <c r="B4" s="3112"/>
      <c r="C4" s="3112"/>
      <c r="D4" s="3112"/>
      <c r="E4" s="3112"/>
      <c r="F4" s="3112"/>
      <c r="G4" s="3112"/>
      <c r="H4" s="3112"/>
      <c r="I4" s="1127"/>
      <c r="J4" s="1127"/>
      <c r="L4" s="1140"/>
      <c r="P4" s="1141"/>
      <c r="Q4" s="1141"/>
      <c r="R4" s="1141"/>
    </row>
    <row r="5" spans="1:18" s="861" customFormat="1">
      <c r="A5" s="860"/>
      <c r="B5" s="3112"/>
      <c r="C5" s="3112"/>
      <c r="D5" s="3112"/>
      <c r="E5" s="3112"/>
      <c r="F5" s="3112"/>
      <c r="G5" s="3112"/>
      <c r="H5" s="3112"/>
      <c r="I5" s="1127"/>
      <c r="J5" s="1127"/>
      <c r="L5" s="1140"/>
      <c r="P5" s="1141"/>
      <c r="Q5" s="1141"/>
      <c r="R5" s="1141"/>
    </row>
    <row r="6" spans="1:18" s="861" customFormat="1">
      <c r="A6" s="860"/>
      <c r="L6" s="1140"/>
      <c r="P6" s="1141"/>
      <c r="Q6" s="1141"/>
      <c r="R6" s="1141"/>
    </row>
    <row r="7" spans="1:18" s="861" customFormat="1" ht="12.75" customHeight="1">
      <c r="A7" s="860"/>
      <c r="B7" s="3107"/>
      <c r="C7" s="3112"/>
      <c r="D7" s="3112"/>
      <c r="E7" s="3112"/>
      <c r="F7" s="3112"/>
      <c r="G7" s="3112"/>
      <c r="H7" s="3112"/>
      <c r="I7" s="1127"/>
      <c r="J7" s="1127"/>
      <c r="L7" s="1140"/>
      <c r="P7" s="1141"/>
      <c r="Q7" s="1141"/>
      <c r="R7" s="1141"/>
    </row>
    <row r="8" spans="1:18" s="861" customFormat="1">
      <c r="A8" s="860"/>
      <c r="B8" s="3112"/>
      <c r="C8" s="3112"/>
      <c r="D8" s="3112"/>
      <c r="E8" s="3112"/>
      <c r="F8" s="3112"/>
      <c r="G8" s="3112"/>
      <c r="H8" s="3112"/>
      <c r="I8" s="1127"/>
      <c r="J8" s="1127"/>
      <c r="L8" s="1140"/>
      <c r="P8" s="1141"/>
      <c r="Q8" s="1141"/>
      <c r="R8" s="1141"/>
    </row>
    <row r="9" spans="1:18" s="861" customFormat="1">
      <c r="A9" s="860"/>
      <c r="L9" s="1140"/>
      <c r="P9" s="1141"/>
      <c r="Q9" s="1141"/>
      <c r="R9" s="1141"/>
    </row>
    <row r="10" spans="1:18" s="861" customFormat="1" ht="12.75" customHeight="1">
      <c r="A10" s="860"/>
      <c r="B10" s="3111"/>
      <c r="C10" s="3113"/>
      <c r="D10" s="3113"/>
      <c r="E10" s="3113"/>
      <c r="F10" s="3113"/>
      <c r="G10" s="3113"/>
      <c r="H10" s="3113"/>
      <c r="I10" s="1127"/>
      <c r="J10" s="1127"/>
      <c r="L10" s="1140"/>
      <c r="P10" s="1141"/>
      <c r="Q10" s="1141"/>
      <c r="R10" s="1141"/>
    </row>
    <row r="11" spans="1:18" s="861" customFormat="1">
      <c r="A11" s="860"/>
      <c r="B11" s="3113"/>
      <c r="C11" s="3113"/>
      <c r="D11" s="3113"/>
      <c r="E11" s="3113"/>
      <c r="F11" s="3113"/>
      <c r="G11" s="3113"/>
      <c r="H11" s="3113"/>
      <c r="I11" s="1127"/>
      <c r="J11" s="1127"/>
      <c r="L11" s="1140"/>
      <c r="P11" s="1141"/>
      <c r="Q11" s="1141"/>
      <c r="R11" s="1141"/>
    </row>
    <row r="12" spans="1:18" s="861" customFormat="1">
      <c r="A12" s="860"/>
      <c r="B12" s="3113"/>
      <c r="C12" s="3113"/>
      <c r="D12" s="3113"/>
      <c r="E12" s="3113"/>
      <c r="F12" s="3113"/>
      <c r="G12" s="3113"/>
      <c r="H12" s="3113"/>
      <c r="I12" s="1127"/>
      <c r="J12" s="1127"/>
      <c r="L12" s="1140"/>
      <c r="P12" s="1141"/>
      <c r="Q12" s="1141"/>
      <c r="R12" s="1141"/>
    </row>
    <row r="13" spans="1:18" s="861" customFormat="1">
      <c r="A13" s="860"/>
      <c r="B13" s="3113"/>
      <c r="C13" s="3113"/>
      <c r="D13" s="3113"/>
      <c r="E13" s="3113"/>
      <c r="F13" s="3113"/>
      <c r="G13" s="3113"/>
      <c r="H13" s="3113"/>
      <c r="I13" s="1127"/>
      <c r="J13" s="1127"/>
      <c r="L13" s="1140"/>
      <c r="P13" s="1141"/>
      <c r="Q13" s="1141"/>
      <c r="R13" s="1141"/>
    </row>
    <row r="14" spans="1:18" s="861" customFormat="1">
      <c r="A14" s="860"/>
      <c r="B14" s="3113"/>
      <c r="C14" s="3113"/>
      <c r="D14" s="3113"/>
      <c r="E14" s="3113"/>
      <c r="F14" s="3113"/>
      <c r="G14" s="3113"/>
      <c r="H14" s="3113"/>
      <c r="I14" s="1127"/>
      <c r="J14" s="1127"/>
      <c r="L14" s="1140"/>
      <c r="P14" s="1141"/>
      <c r="Q14" s="1141"/>
      <c r="R14" s="1141"/>
    </row>
    <row r="15" spans="1:18" s="861" customFormat="1">
      <c r="A15" s="860"/>
      <c r="L15" s="1140"/>
      <c r="P15" s="1141"/>
      <c r="Q15" s="1141"/>
      <c r="R15" s="1141"/>
    </row>
    <row r="16" spans="1:18" s="861" customFormat="1">
      <c r="A16" s="876"/>
      <c r="B16" s="1132"/>
      <c r="L16" s="1140"/>
      <c r="P16" s="1141"/>
      <c r="Q16" s="1141"/>
      <c r="R16" s="1141"/>
    </row>
    <row r="17" spans="1:18" s="861" customFormat="1">
      <c r="L17" s="1140"/>
      <c r="P17" s="1141"/>
      <c r="Q17" s="1141"/>
      <c r="R17" s="1141"/>
    </row>
    <row r="18" spans="1:18" s="861" customFormat="1" ht="12.75" customHeight="1">
      <c r="A18" s="860"/>
      <c r="B18" s="3107"/>
      <c r="C18" s="3112"/>
      <c r="D18" s="3112"/>
      <c r="E18" s="3112"/>
      <c r="F18" s="3112"/>
      <c r="G18" s="3112"/>
      <c r="H18" s="3112"/>
      <c r="I18" s="1142"/>
      <c r="J18" s="1142"/>
      <c r="L18" s="1140"/>
      <c r="P18" s="1141"/>
      <c r="Q18" s="1141"/>
      <c r="R18" s="1141"/>
    </row>
    <row r="19" spans="1:18" s="861" customFormat="1">
      <c r="A19" s="860"/>
      <c r="B19" s="3112"/>
      <c r="C19" s="3112"/>
      <c r="D19" s="3112"/>
      <c r="E19" s="3112"/>
      <c r="F19" s="3112"/>
      <c r="G19" s="3112"/>
      <c r="H19" s="3112"/>
      <c r="I19" s="887"/>
      <c r="J19" s="887"/>
      <c r="L19" s="1140"/>
      <c r="P19" s="1141"/>
      <c r="Q19" s="1141"/>
      <c r="R19" s="1141"/>
    </row>
    <row r="20" spans="1:18" s="1124" customFormat="1" ht="12" customHeight="1">
      <c r="A20" s="1143"/>
      <c r="B20" s="1144"/>
      <c r="C20" s="1145"/>
      <c r="E20" s="1145"/>
      <c r="F20" s="1146"/>
      <c r="G20" s="1147"/>
      <c r="H20" s="1148"/>
      <c r="I20" s="1149"/>
      <c r="K20" s="1148"/>
    </row>
    <row r="21" spans="1:18" s="1124" customFormat="1">
      <c r="D21" s="1134"/>
      <c r="E21" s="1145"/>
      <c r="F21" s="3114"/>
      <c r="G21" s="3114"/>
      <c r="H21" s="3114"/>
      <c r="I21" s="1149"/>
      <c r="K21" s="1148"/>
    </row>
    <row r="22" spans="1:18" s="1124" customFormat="1">
      <c r="A22" s="1150"/>
      <c r="B22" s="1151"/>
      <c r="C22" s="1145"/>
      <c r="D22" s="1145"/>
      <c r="E22" s="1145"/>
      <c r="G22" s="1152"/>
      <c r="H22" s="1152"/>
      <c r="I22" s="1152"/>
      <c r="K22" s="1153"/>
    </row>
    <row r="23" spans="1:18" s="1124" customFormat="1">
      <c r="A23" s="1150"/>
      <c r="B23" s="1151"/>
      <c r="C23" s="1145"/>
      <c r="D23" s="1145"/>
      <c r="E23" s="1145"/>
      <c r="G23" s="1152"/>
      <c r="H23" s="1152"/>
      <c r="I23" s="1152"/>
      <c r="K23" s="1153"/>
    </row>
    <row r="24" spans="1:18" s="1124" customFormat="1" ht="12.75" customHeight="1">
      <c r="A24" s="1143"/>
      <c r="B24" s="1154"/>
      <c r="C24" s="1145"/>
      <c r="D24" s="1145"/>
      <c r="E24" s="1145"/>
      <c r="F24" s="1140"/>
      <c r="G24" s="1155"/>
      <c r="I24" s="1156"/>
    </row>
    <row r="25" spans="1:18" s="1124" customFormat="1" ht="15">
      <c r="A25" s="1143"/>
      <c r="B25" s="1157"/>
      <c r="C25" s="1145"/>
      <c r="D25" s="1145"/>
      <c r="E25" s="1145"/>
      <c r="F25" s="1140"/>
      <c r="G25" s="1155"/>
      <c r="H25" s="862"/>
      <c r="I25" s="1156"/>
      <c r="K25" s="1141"/>
      <c r="L25" s="1140">
        <f>17881166.95/1000</f>
        <v>17881.166949999999</v>
      </c>
    </row>
    <row r="26" spans="1:18" s="1124" customFormat="1" ht="6" customHeight="1">
      <c r="A26" s="1143"/>
      <c r="B26" s="1158"/>
      <c r="C26" s="1145"/>
      <c r="D26" s="1145"/>
      <c r="E26" s="1145"/>
      <c r="F26" s="1140"/>
      <c r="G26" s="1155"/>
      <c r="H26" s="862"/>
      <c r="I26" s="1156"/>
      <c r="K26" s="1141"/>
    </row>
    <row r="27" spans="1:18" s="1124" customFormat="1" ht="12" customHeight="1">
      <c r="A27" s="1143"/>
      <c r="B27" s="1154"/>
      <c r="C27" s="1145"/>
      <c r="D27" s="1145"/>
      <c r="E27" s="1145"/>
      <c r="F27" s="1140"/>
      <c r="G27" s="1155"/>
      <c r="H27" s="862"/>
      <c r="I27" s="1156"/>
      <c r="K27" s="1141"/>
    </row>
    <row r="28" spans="1:18" s="1124" customFormat="1" ht="15" customHeight="1">
      <c r="A28" s="1143"/>
      <c r="B28" s="1157"/>
      <c r="C28" s="1145"/>
      <c r="D28" s="1145"/>
      <c r="E28" s="1145"/>
      <c r="F28" s="1140"/>
      <c r="G28" s="1155"/>
      <c r="H28" s="862"/>
      <c r="I28" s="1156"/>
      <c r="K28" s="1141"/>
      <c r="L28" s="1140">
        <f>3488603.4+4743165.99</f>
        <v>8231769.3900000006</v>
      </c>
    </row>
    <row r="29" spans="1:18" ht="7.5" customHeight="1"/>
    <row r="30" spans="1:18" s="861" customFormat="1">
      <c r="A30" s="1118"/>
      <c r="B30" s="1133"/>
      <c r="C30" s="1133"/>
      <c r="D30" s="1134"/>
      <c r="E30" s="998"/>
      <c r="F30" s="878"/>
      <c r="G30" s="878"/>
      <c r="H30" s="878"/>
    </row>
    <row r="31" spans="1:18" s="861" customFormat="1" hidden="1">
      <c r="A31" s="876" t="s">
        <v>1870</v>
      </c>
      <c r="B31" s="1132" t="s">
        <v>897</v>
      </c>
      <c r="C31" s="1133"/>
      <c r="D31" s="1133"/>
      <c r="E31" s="1133"/>
      <c r="F31" s="1133"/>
      <c r="G31" s="1133"/>
      <c r="H31" s="1133"/>
      <c r="I31" s="878" t="s">
        <v>721</v>
      </c>
    </row>
    <row r="32" spans="1:18" s="861" customFormat="1" hidden="1">
      <c r="A32" s="1118"/>
      <c r="B32" s="1133"/>
      <c r="C32" s="1133"/>
      <c r="D32" s="1133"/>
      <c r="E32" s="1133"/>
      <c r="F32" s="1133"/>
      <c r="G32" s="1133"/>
      <c r="H32" s="1133"/>
    </row>
    <row r="33" spans="1:17" s="861" customFormat="1" ht="13.5" hidden="1" thickBot="1">
      <c r="A33" s="1118"/>
      <c r="B33" s="1135" t="s">
        <v>898</v>
      </c>
      <c r="C33" s="1133"/>
      <c r="D33" s="1159">
        <v>12.1</v>
      </c>
      <c r="E33" s="1133"/>
      <c r="F33" s="1136">
        <f>Lead!K299</f>
        <v>0</v>
      </c>
      <c r="G33" s="1133"/>
      <c r="H33" s="1137">
        <f>Lead!M299</f>
        <v>33688</v>
      </c>
      <c r="I33" s="1160">
        <f>F33/BS!F32</f>
        <v>0</v>
      </c>
    </row>
    <row r="34" spans="1:17" s="861" customFormat="1" ht="13.5" hidden="1" thickTop="1">
      <c r="A34" s="1118"/>
      <c r="B34" s="1133"/>
      <c r="C34" s="1133"/>
      <c r="D34" s="1133"/>
      <c r="E34" s="1133"/>
      <c r="F34" s="1133"/>
      <c r="G34" s="1133"/>
      <c r="H34" s="1133"/>
      <c r="I34" s="1161"/>
      <c r="J34" s="1161"/>
      <c r="K34" s="1161"/>
      <c r="L34" s="1161"/>
      <c r="M34" s="1161"/>
      <c r="N34" s="1161"/>
      <c r="O34" s="1161"/>
      <c r="P34" s="1008"/>
      <c r="Q34" s="1008"/>
    </row>
    <row r="35" spans="1:17" s="861" customFormat="1" hidden="1">
      <c r="A35" s="880" t="s">
        <v>902</v>
      </c>
      <c r="B35" s="3107" t="s">
        <v>1861</v>
      </c>
      <c r="C35" s="3107"/>
      <c r="D35" s="3107"/>
      <c r="E35" s="3107"/>
      <c r="F35" s="3107"/>
      <c r="G35" s="3107"/>
      <c r="H35" s="3107"/>
      <c r="I35" s="1161"/>
      <c r="J35" s="1161"/>
      <c r="K35" s="1161"/>
      <c r="L35" s="1161"/>
      <c r="M35" s="1161"/>
      <c r="N35" s="1161"/>
      <c r="O35" s="1161"/>
      <c r="P35" s="1008"/>
      <c r="Q35" s="1008"/>
    </row>
    <row r="36" spans="1:17" s="861" customFormat="1" hidden="1">
      <c r="A36" s="880"/>
      <c r="B36" s="3107"/>
      <c r="C36" s="3107"/>
      <c r="D36" s="3107"/>
      <c r="E36" s="3107"/>
      <c r="F36" s="3107"/>
      <c r="G36" s="3107"/>
      <c r="H36" s="3107"/>
      <c r="I36" s="1161"/>
      <c r="J36" s="1161"/>
      <c r="K36" s="1161"/>
      <c r="L36" s="1161"/>
      <c r="M36" s="1161"/>
      <c r="N36" s="1161"/>
      <c r="O36" s="1161"/>
      <c r="P36" s="1008"/>
      <c r="Q36" s="1008"/>
    </row>
    <row r="37" spans="1:17" s="861" customFormat="1" hidden="1">
      <c r="A37" s="880"/>
      <c r="B37" s="3107"/>
      <c r="C37" s="3107"/>
      <c r="D37" s="3107"/>
      <c r="E37" s="3107"/>
      <c r="F37" s="3107"/>
      <c r="G37" s="3107"/>
      <c r="H37" s="3107"/>
      <c r="I37" s="1161"/>
      <c r="J37" s="1161"/>
      <c r="K37" s="1161"/>
      <c r="L37" s="1161"/>
      <c r="M37" s="1161"/>
      <c r="N37" s="1161"/>
      <c r="O37" s="1161"/>
      <c r="P37" s="1008"/>
      <c r="Q37" s="1008"/>
    </row>
    <row r="38" spans="1:17" s="861" customFormat="1" hidden="1">
      <c r="A38" s="880"/>
      <c r="B38" s="3107"/>
      <c r="C38" s="3107"/>
      <c r="D38" s="3107"/>
      <c r="E38" s="3107"/>
      <c r="F38" s="3107"/>
      <c r="G38" s="3107"/>
      <c r="H38" s="3107"/>
      <c r="I38" s="1161"/>
      <c r="J38" s="1161" t="s">
        <v>1688</v>
      </c>
      <c r="K38" s="1161"/>
      <c r="L38" s="1161"/>
      <c r="M38" s="1161"/>
      <c r="N38" s="1161"/>
      <c r="O38" s="1161"/>
      <c r="P38" s="1008"/>
      <c r="Q38" s="1008"/>
    </row>
    <row r="39" spans="1:17" s="861" customFormat="1" hidden="1">
      <c r="A39" s="880"/>
      <c r="B39" s="3107"/>
      <c r="C39" s="3107"/>
      <c r="D39" s="3107"/>
      <c r="E39" s="3107"/>
      <c r="F39" s="3107"/>
      <c r="G39" s="3107"/>
      <c r="H39" s="3107"/>
      <c r="I39" s="1161"/>
      <c r="J39" s="1161"/>
      <c r="K39" s="1161"/>
      <c r="L39" s="1161"/>
      <c r="M39" s="1161"/>
      <c r="N39" s="1161"/>
      <c r="O39" s="1161"/>
      <c r="P39" s="1008"/>
      <c r="Q39" s="1008"/>
    </row>
    <row r="40" spans="1:17" s="861" customFormat="1" hidden="1">
      <c r="A40" s="880"/>
      <c r="B40" s="3107"/>
      <c r="C40" s="3107"/>
      <c r="D40" s="3107"/>
      <c r="E40" s="3107"/>
      <c r="F40" s="3107"/>
      <c r="G40" s="3107"/>
      <c r="H40" s="3107"/>
      <c r="I40" s="1161"/>
      <c r="J40" s="1161"/>
      <c r="K40" s="1161"/>
      <c r="L40" s="1161"/>
      <c r="M40" s="1161"/>
      <c r="N40" s="1161"/>
      <c r="O40" s="1161"/>
      <c r="P40" s="1008"/>
      <c r="Q40" s="1008"/>
    </row>
    <row r="41" spans="1:17" s="861" customFormat="1" hidden="1">
      <c r="A41" s="1118"/>
      <c r="B41" s="3107"/>
      <c r="C41" s="3107"/>
      <c r="D41" s="3107"/>
      <c r="E41" s="3107"/>
      <c r="F41" s="3107"/>
      <c r="G41" s="3107"/>
      <c r="H41" s="3107"/>
      <c r="I41" s="1008"/>
      <c r="J41" s="1008"/>
      <c r="K41" s="1008"/>
      <c r="L41" s="1008"/>
      <c r="M41" s="1008"/>
      <c r="N41" s="1008"/>
      <c r="O41" s="1008"/>
      <c r="P41" s="1008"/>
      <c r="Q41" s="998"/>
    </row>
    <row r="42" spans="1:17" s="861" customFormat="1" ht="7.5" hidden="1" customHeight="1">
      <c r="A42" s="1118"/>
      <c r="B42" s="887"/>
      <c r="C42" s="887"/>
      <c r="D42" s="887"/>
      <c r="E42" s="887"/>
      <c r="F42" s="887"/>
      <c r="G42" s="887"/>
      <c r="H42" s="887"/>
      <c r="I42" s="1008"/>
      <c r="J42" s="1008"/>
      <c r="K42" s="1008"/>
      <c r="L42" s="1008"/>
      <c r="M42" s="1008"/>
      <c r="N42" s="1008"/>
      <c r="O42" s="1008"/>
      <c r="P42" s="1008"/>
      <c r="Q42" s="998"/>
    </row>
    <row r="43" spans="1:17" s="861" customFormat="1" hidden="1">
      <c r="A43" s="1118"/>
      <c r="B43" s="1000"/>
      <c r="C43" s="887"/>
      <c r="E43" s="878"/>
      <c r="F43" s="1130" t="s">
        <v>1530</v>
      </c>
      <c r="G43" s="1162"/>
      <c r="H43" s="1131" t="s">
        <v>896</v>
      </c>
      <c r="I43" s="1008"/>
      <c r="J43" s="1008"/>
      <c r="K43" s="1008"/>
      <c r="L43" s="1008"/>
      <c r="M43" s="1008"/>
      <c r="N43" s="1008"/>
      <c r="O43" s="1008"/>
      <c r="P43" s="1008"/>
      <c r="Q43" s="998"/>
    </row>
    <row r="44" spans="1:17" s="861" customFormat="1" hidden="1">
      <c r="C44" s="1133"/>
      <c r="D44" s="1134" t="s">
        <v>678</v>
      </c>
      <c r="E44" s="998"/>
      <c r="F44" s="2946" t="s">
        <v>707</v>
      </c>
      <c r="G44" s="2946"/>
      <c r="H44" s="2946"/>
      <c r="I44" s="878" t="s">
        <v>726</v>
      </c>
    </row>
    <row r="45" spans="1:17" s="861" customFormat="1" hidden="1">
      <c r="A45" s="876" t="s">
        <v>1871</v>
      </c>
      <c r="B45" s="1132" t="s">
        <v>899</v>
      </c>
      <c r="C45" s="1133"/>
      <c r="D45" s="1134"/>
      <c r="E45" s="998"/>
      <c r="F45" s="878"/>
      <c r="G45" s="878"/>
      <c r="H45" s="878"/>
      <c r="I45" s="878"/>
    </row>
    <row r="46" spans="1:17" s="861" customFormat="1" hidden="1">
      <c r="A46" s="876"/>
      <c r="B46" s="1132" t="s">
        <v>900</v>
      </c>
      <c r="C46" s="1133"/>
      <c r="D46" s="1134"/>
      <c r="E46" s="998"/>
      <c r="F46" s="878"/>
      <c r="G46" s="878"/>
      <c r="H46" s="878"/>
      <c r="I46" s="878"/>
    </row>
    <row r="47" spans="1:17" s="861" customFormat="1" hidden="1">
      <c r="A47" s="1118"/>
      <c r="B47" s="1133"/>
      <c r="C47" s="1133"/>
      <c r="D47" s="1133"/>
      <c r="E47" s="1133"/>
      <c r="F47" s="1133"/>
      <c r="G47" s="1133"/>
      <c r="H47" s="1133"/>
      <c r="I47" s="1008"/>
    </row>
    <row r="48" spans="1:17" s="861" customFormat="1" ht="12.75" hidden="1" customHeight="1" thickBot="1">
      <c r="A48" s="1118"/>
      <c r="B48" s="1135" t="s">
        <v>901</v>
      </c>
      <c r="C48" s="1133"/>
      <c r="D48" s="1159">
        <v>13.1</v>
      </c>
      <c r="E48" s="1133"/>
      <c r="F48" s="1136">
        <f>Lead!K304</f>
        <v>0</v>
      </c>
      <c r="G48" s="1163"/>
      <c r="H48" s="1137">
        <f>Lead!M306</f>
        <v>2920</v>
      </c>
      <c r="I48" s="1164"/>
    </row>
    <row r="49" spans="1:9" s="861" customFormat="1" ht="9" hidden="1" customHeight="1" thickTop="1">
      <c r="A49" s="1118"/>
      <c r="B49" s="1133"/>
      <c r="C49" s="1133"/>
      <c r="D49" s="1133"/>
      <c r="E49" s="1133"/>
      <c r="F49" s="1133"/>
      <c r="G49" s="1133"/>
      <c r="H49" s="1133"/>
      <c r="I49" s="1008"/>
    </row>
    <row r="50" spans="1:9" s="861" customFormat="1" ht="12.75" hidden="1" customHeight="1">
      <c r="A50" s="880" t="s">
        <v>1865</v>
      </c>
      <c r="B50" s="3108" t="s">
        <v>903</v>
      </c>
      <c r="C50" s="3108"/>
      <c r="D50" s="3108"/>
      <c r="E50" s="3108"/>
      <c r="F50" s="3108"/>
      <c r="G50" s="3108"/>
      <c r="H50" s="3108"/>
      <c r="I50" s="1008"/>
    </row>
    <row r="51" spans="1:9" s="861" customFormat="1" ht="12.75" hidden="1" customHeight="1">
      <c r="A51" s="880"/>
      <c r="B51" s="3108"/>
      <c r="C51" s="3108"/>
      <c r="D51" s="3108"/>
      <c r="E51" s="3108"/>
      <c r="F51" s="3108"/>
      <c r="G51" s="3108"/>
      <c r="H51" s="3108"/>
      <c r="I51" s="1008"/>
    </row>
    <row r="52" spans="1:9" s="861" customFormat="1" ht="12.75" hidden="1" customHeight="1">
      <c r="A52" s="1118"/>
      <c r="B52" s="3108"/>
      <c r="C52" s="3108"/>
      <c r="D52" s="3108"/>
      <c r="E52" s="3108"/>
      <c r="F52" s="3108"/>
      <c r="G52" s="3108"/>
      <c r="H52" s="3108"/>
      <c r="I52" s="1008"/>
    </row>
    <row r="53" spans="1:9" s="861" customFormat="1" ht="6.75" hidden="1" customHeight="1">
      <c r="A53" s="1118"/>
      <c r="B53" s="1165"/>
      <c r="C53" s="1165"/>
      <c r="D53" s="1166"/>
      <c r="E53" s="1167"/>
      <c r="F53" s="1168"/>
      <c r="G53" s="1168"/>
      <c r="H53" s="1168"/>
      <c r="I53" s="1008"/>
    </row>
    <row r="54" spans="1:9" s="861" customFormat="1" ht="12.75" hidden="1" customHeight="1">
      <c r="A54" s="1118"/>
      <c r="B54" s="1169" t="s">
        <v>904</v>
      </c>
      <c r="C54" s="1165"/>
      <c r="E54" s="1170" t="s">
        <v>905</v>
      </c>
      <c r="F54" s="1170"/>
      <c r="G54" s="1168"/>
      <c r="H54" s="1168"/>
      <c r="I54" s="1008"/>
    </row>
    <row r="55" spans="1:9" s="861" customFormat="1" ht="4.5" hidden="1" customHeight="1">
      <c r="A55" s="1118"/>
      <c r="B55" s="1165"/>
      <c r="C55" s="1165"/>
      <c r="D55" s="1166"/>
      <c r="E55" s="1167"/>
      <c r="F55" s="1168"/>
      <c r="G55" s="1168"/>
      <c r="H55" s="1168"/>
      <c r="I55" s="1008"/>
    </row>
    <row r="56" spans="1:9" s="861" customFormat="1" ht="12.75" hidden="1" customHeight="1">
      <c r="A56" s="1118"/>
      <c r="B56" s="1165" t="s">
        <v>906</v>
      </c>
      <c r="C56" s="1165"/>
      <c r="E56" s="1171" t="s">
        <v>907</v>
      </c>
      <c r="F56" s="1172"/>
      <c r="G56" s="998"/>
      <c r="H56" s="1173"/>
      <c r="I56" s="1168"/>
    </row>
    <row r="57" spans="1:9" s="861" customFormat="1" ht="7.5" hidden="1" customHeight="1">
      <c r="A57" s="1118"/>
      <c r="B57" s="1165"/>
      <c r="C57" s="1165"/>
      <c r="E57" s="1171"/>
      <c r="F57" s="1172"/>
      <c r="G57" s="1173"/>
      <c r="H57" s="1173"/>
      <c r="I57" s="1168"/>
    </row>
    <row r="58" spans="1:9" s="861" customFormat="1" ht="12.75" hidden="1" customHeight="1">
      <c r="A58" s="1118"/>
      <c r="B58" s="1165" t="s">
        <v>908</v>
      </c>
      <c r="C58" s="1165"/>
      <c r="E58" s="3109" t="s">
        <v>909</v>
      </c>
      <c r="F58" s="3109"/>
      <c r="G58" s="3109"/>
      <c r="H58" s="3109"/>
      <c r="I58" s="1174"/>
    </row>
    <row r="59" spans="1:9" s="861" customFormat="1" ht="12.75" hidden="1" customHeight="1">
      <c r="A59" s="1118"/>
      <c r="B59" s="1165"/>
      <c r="C59" s="1165"/>
      <c r="E59" s="3109"/>
      <c r="F59" s="3109"/>
      <c r="G59" s="3109"/>
      <c r="H59" s="3109"/>
      <c r="I59" s="1174"/>
    </row>
    <row r="60" spans="1:9" s="861" customFormat="1" ht="7.5" hidden="1" customHeight="1">
      <c r="A60" s="1118"/>
      <c r="B60" s="1165"/>
      <c r="C60" s="1165"/>
      <c r="E60" s="1171"/>
      <c r="F60" s="1172"/>
      <c r="G60" s="1173"/>
      <c r="H60" s="1173"/>
      <c r="I60" s="1168"/>
    </row>
    <row r="61" spans="1:9" s="861" customFormat="1" ht="12.75" hidden="1" customHeight="1">
      <c r="A61" s="1118"/>
      <c r="B61" s="1165" t="s">
        <v>910</v>
      </c>
      <c r="C61" s="1165"/>
      <c r="E61" s="3109" t="s">
        <v>911</v>
      </c>
      <c r="F61" s="3109"/>
      <c r="G61" s="3109"/>
      <c r="H61" s="3109"/>
      <c r="I61" s="1174"/>
    </row>
    <row r="62" spans="1:9" s="861" customFormat="1" ht="12.75" hidden="1" customHeight="1">
      <c r="A62" s="1118"/>
      <c r="B62" s="1133"/>
      <c r="C62" s="1133"/>
      <c r="E62" s="3109"/>
      <c r="F62" s="3109"/>
      <c r="G62" s="3109"/>
      <c r="H62" s="3109"/>
      <c r="I62" s="1174"/>
    </row>
    <row r="63" spans="1:9" s="861" customFormat="1" ht="4.5" hidden="1" customHeight="1">
      <c r="A63" s="1118"/>
      <c r="B63" s="1133"/>
      <c r="C63" s="1133"/>
      <c r="D63" s="1133"/>
      <c r="E63" s="1133"/>
      <c r="F63" s="1133"/>
      <c r="G63" s="1133"/>
      <c r="H63" s="1133"/>
      <c r="I63" s="1008"/>
    </row>
    <row r="64" spans="1:9" s="861" customFormat="1" ht="12.75" hidden="1" customHeight="1">
      <c r="A64" s="1116" t="s">
        <v>1872</v>
      </c>
      <c r="B64" s="882" t="s">
        <v>912</v>
      </c>
      <c r="C64" s="1133"/>
      <c r="D64" s="1133"/>
      <c r="E64" s="1133"/>
      <c r="F64" s="1133"/>
      <c r="G64" s="1133"/>
      <c r="H64" s="1133"/>
      <c r="I64" s="1008"/>
    </row>
    <row r="65" spans="1:9" s="861" customFormat="1" ht="9" hidden="1" customHeight="1">
      <c r="A65" s="1118"/>
      <c r="B65" s="1133"/>
      <c r="C65" s="1133"/>
      <c r="D65" s="1133"/>
      <c r="E65" s="1133"/>
      <c r="F65" s="1133"/>
      <c r="G65" s="1133"/>
      <c r="H65" s="1133"/>
      <c r="I65" s="1008"/>
    </row>
    <row r="66" spans="1:9" s="861" customFormat="1" ht="12.75" hidden="1" customHeight="1">
      <c r="A66" s="1118"/>
      <c r="B66" s="3110" t="s">
        <v>1852</v>
      </c>
      <c r="C66" s="3110"/>
      <c r="D66" s="3110"/>
      <c r="E66" s="3110"/>
      <c r="F66" s="3110"/>
      <c r="G66" s="3110"/>
      <c r="H66" s="3110"/>
      <c r="I66" s="1008"/>
    </row>
    <row r="67" spans="1:9" s="861" customFormat="1" ht="12.75" hidden="1" customHeight="1">
      <c r="A67" s="1118"/>
      <c r="B67" s="3110"/>
      <c r="C67" s="3110"/>
      <c r="D67" s="3110"/>
      <c r="E67" s="3110"/>
      <c r="F67" s="3110"/>
      <c r="G67" s="3110"/>
      <c r="H67" s="3110"/>
      <c r="I67" s="1008"/>
    </row>
    <row r="68" spans="1:9" s="861" customFormat="1" ht="12.75" hidden="1" customHeight="1">
      <c r="A68" s="1118"/>
      <c r="B68" s="3110"/>
      <c r="C68" s="3110"/>
      <c r="D68" s="3110"/>
      <c r="E68" s="3110"/>
      <c r="F68" s="3110"/>
      <c r="G68" s="3110"/>
      <c r="H68" s="3110"/>
      <c r="I68" s="1008"/>
    </row>
    <row r="69" spans="1:9" s="861" customFormat="1" hidden="1">
      <c r="A69" s="1118"/>
      <c r="B69" s="3110"/>
      <c r="C69" s="3110"/>
      <c r="D69" s="3110"/>
      <c r="E69" s="3110"/>
      <c r="F69" s="3110"/>
      <c r="G69" s="3110"/>
      <c r="H69" s="3110"/>
      <c r="I69" s="1008"/>
    </row>
    <row r="70" spans="1:9" s="861" customFormat="1" hidden="1">
      <c r="A70" s="1118"/>
      <c r="B70" s="3110"/>
      <c r="C70" s="3110"/>
      <c r="D70" s="3110"/>
      <c r="E70" s="3110"/>
      <c r="F70" s="3110"/>
      <c r="G70" s="3110"/>
      <c r="H70" s="3110"/>
      <c r="I70" s="1008"/>
    </row>
    <row r="71" spans="1:9" ht="12.75" hidden="1" customHeight="1"/>
    <row r="72" spans="1:9" ht="12.75" hidden="1" customHeight="1"/>
    <row r="73" spans="1:9" ht="12.75" hidden="1" customHeight="1"/>
    <row r="74" spans="1:9" ht="12.75" hidden="1" customHeight="1"/>
    <row r="75" spans="1:9" ht="12.75" hidden="1" customHeight="1"/>
    <row r="76" spans="1:9" ht="12.75" hidden="1" customHeight="1"/>
    <row r="77" spans="1:9" ht="12.75" hidden="1" customHeight="1"/>
    <row r="78" spans="1:9" ht="12.75" hidden="1" customHeight="1"/>
    <row r="79" spans="1:9" ht="12.75" hidden="1" customHeight="1"/>
    <row r="80" spans="1:9" ht="12.75" hidden="1" customHeight="1"/>
    <row r="81" spans="1:13" ht="12.75" hidden="1" customHeight="1"/>
    <row r="82" spans="1:13" ht="12.75" hidden="1" customHeight="1"/>
    <row r="83" spans="1:13" ht="12.75" hidden="1" customHeight="1"/>
    <row r="84" spans="1:13" ht="12.75" hidden="1" customHeight="1"/>
    <row r="85" spans="1:13" ht="12.75" hidden="1" customHeight="1"/>
    <row r="86" spans="1:13" ht="12.75" hidden="1" customHeight="1"/>
    <row r="87" spans="1:13" s="861" customFormat="1" ht="9" hidden="1" customHeight="1">
      <c r="A87" s="1118"/>
      <c r="B87" s="1117"/>
      <c r="C87" s="1117"/>
      <c r="D87" s="1117"/>
      <c r="E87" s="1117"/>
      <c r="F87" s="878"/>
      <c r="G87" s="878"/>
      <c r="H87" s="878"/>
      <c r="L87" s="895">
        <v>48659</v>
      </c>
      <c r="M87" s="895" t="e">
        <f>SUM('1-4.1'!#REF!)</f>
        <v>#REF!</v>
      </c>
    </row>
    <row r="88" spans="1:13" s="861" customFormat="1" ht="12.75" hidden="1" customHeight="1">
      <c r="A88" s="1118"/>
      <c r="C88" s="1175"/>
      <c r="D88" s="1175"/>
      <c r="E88" s="1175"/>
      <c r="F88" s="1175"/>
      <c r="G88" s="1175"/>
      <c r="H88" s="1175"/>
      <c r="J88" s="895" t="e">
        <f>IS!#REF!</f>
        <v>#REF!</v>
      </c>
      <c r="K88" s="861" t="s">
        <v>1481</v>
      </c>
      <c r="L88" s="895" t="e">
        <f>J88+J89</f>
        <v>#REF!</v>
      </c>
      <c r="M88" s="1138" t="e">
        <f>-M87/'Note 9-14'!#REF!</f>
        <v>#REF!</v>
      </c>
    </row>
    <row r="89" spans="1:13" s="861" customFormat="1" ht="12.75" hidden="1" customHeight="1">
      <c r="A89" s="1118"/>
      <c r="B89" s="1175"/>
      <c r="C89" s="1175"/>
      <c r="D89" s="1175"/>
      <c r="E89" s="1175"/>
      <c r="F89" s="1175"/>
      <c r="G89" s="1175"/>
      <c r="H89" s="1175"/>
      <c r="J89" s="895">
        <f>-Lead!K374</f>
        <v>0</v>
      </c>
      <c r="K89" s="861" t="s">
        <v>1482</v>
      </c>
      <c r="L89" s="1138" t="e">
        <f>L88/'Note 9-14'!#REF!</f>
        <v>#REF!</v>
      </c>
    </row>
    <row r="90" spans="1:13" s="861" customFormat="1" ht="12.75" hidden="1" customHeight="1">
      <c r="A90" s="1118"/>
      <c r="B90" s="1175"/>
      <c r="C90" s="1175"/>
      <c r="D90" s="1175"/>
      <c r="E90" s="1175"/>
      <c r="F90" s="1175"/>
      <c r="G90" s="1175"/>
      <c r="H90" s="1175"/>
      <c r="I90" s="895"/>
      <c r="J90" s="895">
        <f>Lead!K243</f>
        <v>0</v>
      </c>
      <c r="K90" s="861" t="s">
        <v>1483</v>
      </c>
    </row>
    <row r="91" spans="1:13" s="861" customFormat="1" ht="12.75" hidden="1" customHeight="1">
      <c r="A91" s="1118"/>
      <c r="B91" s="1175"/>
      <c r="C91" s="1175"/>
      <c r="D91" s="1175"/>
      <c r="E91" s="1175"/>
      <c r="F91" s="1175"/>
      <c r="G91" s="1175"/>
      <c r="H91" s="1175"/>
      <c r="J91" s="895" t="e">
        <f>SUM(J88:J90)</f>
        <v>#REF!</v>
      </c>
      <c r="K91" s="861" t="s">
        <v>681</v>
      </c>
    </row>
    <row r="92" spans="1:13" s="861" customFormat="1" ht="12.75" hidden="1" customHeight="1">
      <c r="A92" s="1118"/>
      <c r="B92" s="1175"/>
      <c r="C92" s="1175"/>
      <c r="D92" s="1175"/>
      <c r="E92" s="1175"/>
      <c r="F92" s="1175"/>
      <c r="G92" s="1175"/>
      <c r="H92" s="1175"/>
      <c r="J92" s="895" t="e">
        <f>J88+J90</f>
        <v>#REF!</v>
      </c>
      <c r="K92" s="861" t="s">
        <v>1484</v>
      </c>
    </row>
    <row r="93" spans="1:13" s="861" customFormat="1" ht="12.75" customHeight="1">
      <c r="A93" s="1118"/>
      <c r="B93" s="1175"/>
      <c r="C93" s="1175"/>
      <c r="D93" s="1175"/>
      <c r="E93" s="1175"/>
      <c r="F93" s="1175"/>
      <c r="G93" s="1175"/>
      <c r="H93" s="1175"/>
      <c r="J93" s="895" t="e">
        <f>J92-Lead!K373</f>
        <v>#REF!</v>
      </c>
      <c r="K93" s="861" t="s">
        <v>1485</v>
      </c>
    </row>
    <row r="94" spans="1:13" s="1176" customFormat="1" ht="12.75" customHeight="1">
      <c r="A94" s="1118"/>
      <c r="B94" s="1117"/>
      <c r="C94" s="1117"/>
      <c r="G94" s="1117"/>
      <c r="H94" s="1117"/>
      <c r="I94" s="1177"/>
      <c r="J94" s="3105"/>
      <c r="K94" s="3105"/>
      <c r="L94" s="3106"/>
      <c r="M94" s="3106"/>
    </row>
    <row r="95" spans="1:13" s="1176" customFormat="1" ht="12.75" customHeight="1">
      <c r="A95" s="1118"/>
      <c r="B95" s="1117"/>
      <c r="C95" s="1117"/>
      <c r="G95" s="1117"/>
      <c r="H95" s="1117"/>
      <c r="I95" s="1177"/>
      <c r="J95" s="3105"/>
      <c r="K95" s="3105"/>
      <c r="L95" s="3106"/>
      <c r="M95" s="3106"/>
    </row>
    <row r="96" spans="1:13" s="1176" customFormat="1" ht="12.75" customHeight="1">
      <c r="I96" s="878" t="s">
        <v>914</v>
      </c>
      <c r="J96" s="3105"/>
      <c r="K96" s="3105"/>
      <c r="L96" s="3106"/>
      <c r="M96" s="3106"/>
    </row>
    <row r="97" spans="9:13" s="1176" customFormat="1" ht="12.75" customHeight="1">
      <c r="I97" s="1177"/>
      <c r="J97" s="1178">
        <v>48659</v>
      </c>
      <c r="K97" s="1179"/>
      <c r="L97" s="1179"/>
      <c r="M97" s="1179"/>
    </row>
    <row r="98" spans="9:13" s="1176" customFormat="1" ht="12.75" customHeight="1">
      <c r="I98" s="1119"/>
      <c r="J98" s="1180">
        <v>57817</v>
      </c>
      <c r="K98" s="1177"/>
    </row>
    <row r="99" spans="9:13" s="1176" customFormat="1" ht="12.75" customHeight="1">
      <c r="I99" s="1119"/>
      <c r="J99" s="1181">
        <f>J98-J97</f>
        <v>9158</v>
      </c>
      <c r="K99" s="1177"/>
    </row>
    <row r="100" spans="9:13" s="1176" customFormat="1" ht="12.75" customHeight="1">
      <c r="I100" s="1119"/>
      <c r="J100" s="1119"/>
      <c r="K100" s="1177"/>
    </row>
    <row r="101" spans="9:13" s="1176" customFormat="1" ht="12.75" customHeight="1">
      <c r="I101" s="1119"/>
      <c r="J101" s="1119"/>
      <c r="K101" s="1177"/>
    </row>
    <row r="102" spans="9:13" s="1176" customFormat="1" ht="12.75" customHeight="1">
      <c r="I102" s="1119"/>
      <c r="J102" s="1119"/>
      <c r="K102" s="1177"/>
    </row>
    <row r="103" spans="9:13" s="1176" customFormat="1" ht="12.75" customHeight="1">
      <c r="I103" s="1119"/>
      <c r="J103" s="1119"/>
      <c r="K103" s="1177"/>
    </row>
    <row r="104" spans="9:13" s="1176" customFormat="1" ht="12.75" customHeight="1">
      <c r="I104" s="1119"/>
      <c r="J104" s="1119"/>
      <c r="K104" s="1177"/>
    </row>
    <row r="105" spans="9:13" s="1176" customFormat="1" ht="12.75" customHeight="1">
      <c r="I105" s="1119"/>
      <c r="J105" s="1119"/>
      <c r="K105" s="1177"/>
    </row>
    <row r="106" spans="9:13" s="1176" customFormat="1" ht="12.75" customHeight="1">
      <c r="I106" s="1119"/>
      <c r="J106" s="1119"/>
      <c r="K106" s="1177"/>
    </row>
    <row r="107" spans="9:13" s="1176" customFormat="1" ht="12.75" customHeight="1">
      <c r="I107" s="1119"/>
      <c r="J107" s="1119"/>
      <c r="K107" s="1177"/>
    </row>
    <row r="108" spans="9:13" s="1176" customFormat="1" ht="12.75" customHeight="1">
      <c r="I108" s="1119"/>
      <c r="J108" s="1119"/>
      <c r="K108" s="1177"/>
    </row>
    <row r="109" spans="9:13" s="1176" customFormat="1" ht="12.75" customHeight="1">
      <c r="I109" s="1119"/>
      <c r="J109" s="1119"/>
      <c r="K109" s="1177"/>
    </row>
    <row r="110" spans="9:13" s="1176" customFormat="1" ht="12.75" customHeight="1">
      <c r="I110" s="1119"/>
      <c r="J110" s="1119"/>
      <c r="K110" s="1177"/>
    </row>
    <row r="111" spans="9:13" s="1176" customFormat="1" ht="12.75" customHeight="1">
      <c r="I111" s="1119"/>
      <c r="J111" s="1119"/>
      <c r="K111" s="1177"/>
    </row>
    <row r="112" spans="9:13" s="1176" customFormat="1" ht="12.75" customHeight="1">
      <c r="I112" s="1119"/>
      <c r="J112" s="1119"/>
      <c r="K112" s="1177"/>
    </row>
    <row r="113" spans="1:11" s="1176" customFormat="1" ht="12.75" customHeight="1">
      <c r="I113" s="1119"/>
      <c r="J113" s="1119"/>
      <c r="K113" s="1177"/>
    </row>
    <row r="114" spans="1:11" s="1176" customFormat="1" ht="12.75" customHeight="1">
      <c r="I114" s="1119"/>
      <c r="J114" s="1119"/>
      <c r="K114" s="1177"/>
    </row>
    <row r="115" spans="1:11" s="1176" customFormat="1" ht="12.75" customHeight="1">
      <c r="I115" s="1119"/>
      <c r="J115" s="1119"/>
      <c r="K115" s="1177"/>
    </row>
    <row r="116" spans="1:11" s="1176" customFormat="1" ht="12.75" customHeight="1">
      <c r="I116" s="1119"/>
      <c r="J116" s="1119"/>
      <c r="K116" s="1177"/>
    </row>
    <row r="117" spans="1:11" s="1176" customFormat="1" ht="12.75" customHeight="1">
      <c r="I117" s="1119"/>
      <c r="J117" s="1119"/>
      <c r="K117" s="1177"/>
    </row>
    <row r="118" spans="1:11" s="1176" customFormat="1" ht="19.5" customHeight="1">
      <c r="I118" s="1119"/>
      <c r="J118" s="1119"/>
      <c r="K118" s="1177"/>
    </row>
    <row r="119" spans="1:11" s="1176" customFormat="1">
      <c r="A119" s="1118"/>
      <c r="B119" s="1119"/>
      <c r="C119" s="1119"/>
      <c r="D119" s="1119"/>
      <c r="E119" s="1119"/>
      <c r="F119" s="1119"/>
      <c r="G119" s="1119"/>
      <c r="H119" s="1119"/>
      <c r="I119" s="1119"/>
      <c r="J119" s="1119"/>
      <c r="K119" s="1177"/>
    </row>
    <row r="124" spans="1:11" ht="12.75" customHeight="1">
      <c r="B124" s="1182"/>
      <c r="D124" s="865"/>
      <c r="E124" s="865"/>
      <c r="F124" s="1183"/>
      <c r="G124" s="1077"/>
      <c r="H124" s="1184"/>
    </row>
    <row r="136" spans="2:8" ht="12.75" customHeight="1">
      <c r="B136" s="1182"/>
      <c r="D136" s="865"/>
      <c r="E136" s="865"/>
      <c r="F136" s="1184"/>
      <c r="G136" s="1077"/>
      <c r="H136" s="1184"/>
    </row>
  </sheetData>
  <mergeCells count="13">
    <mergeCell ref="B2:H5"/>
    <mergeCell ref="B7:H8"/>
    <mergeCell ref="B10:H14"/>
    <mergeCell ref="B18:H19"/>
    <mergeCell ref="F21:H21"/>
    <mergeCell ref="J94:K96"/>
    <mergeCell ref="L94:M96"/>
    <mergeCell ref="B35:H41"/>
    <mergeCell ref="B50:H52"/>
    <mergeCell ref="E58:H59"/>
    <mergeCell ref="E61:H62"/>
    <mergeCell ref="B66:H70"/>
    <mergeCell ref="F44:H44"/>
  </mergeCells>
  <pageMargins left="0.63" right="0.3" top="0.44" bottom="0.28999999999999998" header="0.4" footer="0.23"/>
  <pageSetup scale="90" orientation="portrait" r:id="rId1"/>
  <headerFooter alignWithMargins="0"/>
  <rowBreaks count="1" manualBreakCount="1">
    <brk id="69" max="7" man="1"/>
  </rowBreaks>
  <colBreaks count="1" manualBreakCount="1">
    <brk id="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12"/>
  <sheetViews>
    <sheetView showGridLines="0" view="pageBreakPreview" zoomScaleNormal="100" zoomScaleSheetLayoutView="100" workbookViewId="0">
      <selection activeCell="B48" sqref="B48"/>
    </sheetView>
  </sheetViews>
  <sheetFormatPr defaultColWidth="9" defaultRowHeight="12"/>
  <cols>
    <col min="1" max="1" width="5.125" style="1727" customWidth="1"/>
    <col min="2" max="2" width="16" style="1727" customWidth="1"/>
    <col min="3" max="3" width="6.625" style="1727" customWidth="1"/>
    <col min="4" max="5" width="7.125" style="1727" customWidth="1"/>
    <col min="6" max="6" width="6.625" style="1727" customWidth="1"/>
    <col min="7" max="7" width="8.25" style="1727" customWidth="1"/>
    <col min="8" max="9" width="6.625" style="1727" customWidth="1"/>
    <col min="10" max="11" width="6.875" style="1727" customWidth="1"/>
    <col min="12" max="12" width="10.75" style="1727" customWidth="1"/>
    <col min="13" max="16384" width="9" style="1727"/>
  </cols>
  <sheetData>
    <row r="1" spans="1:15">
      <c r="A1" s="1927"/>
      <c r="B1" s="1580"/>
    </row>
    <row r="3" spans="1:15">
      <c r="A3" s="2102">
        <v>5.4</v>
      </c>
      <c r="B3" s="2103" t="s">
        <v>1941</v>
      </c>
      <c r="C3" s="1586"/>
      <c r="D3" s="1586"/>
      <c r="E3" s="1819"/>
      <c r="F3" s="1819"/>
      <c r="G3" s="1819"/>
      <c r="H3" s="1589"/>
      <c r="I3" s="1589"/>
      <c r="J3" s="1781"/>
    </row>
    <row r="4" spans="1:15">
      <c r="A4" s="1592"/>
      <c r="B4" s="1591"/>
      <c r="C4" s="1586"/>
      <c r="D4" s="1586"/>
      <c r="E4" s="1819"/>
      <c r="F4" s="1819"/>
      <c r="G4" s="1819"/>
      <c r="H4" s="1589"/>
      <c r="I4" s="1589"/>
      <c r="J4" s="1781"/>
    </row>
    <row r="5" spans="1:15" s="2028" customFormat="1" ht="67.5" customHeight="1">
      <c r="A5" s="2113"/>
      <c r="B5" s="2239" t="s">
        <v>1844</v>
      </c>
      <c r="C5" s="2240" t="s">
        <v>1444</v>
      </c>
      <c r="D5" s="2241" t="s">
        <v>849</v>
      </c>
      <c r="E5" s="2241" t="s">
        <v>1445</v>
      </c>
      <c r="F5" s="2241" t="s">
        <v>2159</v>
      </c>
      <c r="G5" s="2241" t="s">
        <v>2153</v>
      </c>
      <c r="H5" s="2241" t="s">
        <v>2158</v>
      </c>
      <c r="I5" s="2240" t="s">
        <v>1446</v>
      </c>
      <c r="J5" s="2240" t="s">
        <v>1489</v>
      </c>
      <c r="K5" s="2240" t="s">
        <v>2118</v>
      </c>
      <c r="L5" s="2127"/>
      <c r="M5" s="1995"/>
      <c r="N5" s="2127"/>
      <c r="O5" s="2118"/>
    </row>
    <row r="6" spans="1:15" s="2028" customFormat="1" ht="11.25">
      <c r="A6" s="2113"/>
      <c r="B6" s="2242"/>
      <c r="C6" s="2243"/>
      <c r="D6" s="2243"/>
      <c r="E6" s="2243"/>
      <c r="F6" s="2244"/>
      <c r="G6" s="2244"/>
      <c r="H6" s="2245" t="s">
        <v>876</v>
      </c>
      <c r="I6" s="2245"/>
      <c r="J6" s="2245"/>
      <c r="K6" s="2246"/>
      <c r="L6" s="1972"/>
      <c r="M6" s="2124"/>
      <c r="N6" s="2124"/>
      <c r="O6" s="2118"/>
    </row>
    <row r="7" spans="1:15" s="2028" customFormat="1" ht="11.25">
      <c r="A7" s="2113"/>
      <c r="B7" s="2071"/>
      <c r="C7" s="2108"/>
      <c r="D7" s="2108"/>
      <c r="E7" s="2108"/>
      <c r="H7" s="2123"/>
      <c r="I7" s="2123"/>
      <c r="J7" s="2123"/>
      <c r="K7" s="1972"/>
      <c r="L7" s="1972"/>
      <c r="M7" s="2124"/>
      <c r="N7" s="2124"/>
      <c r="O7" s="2118"/>
    </row>
    <row r="8" spans="1:15" s="2028" customFormat="1" ht="22.5">
      <c r="A8" s="2113"/>
      <c r="B8" s="2184" t="s">
        <v>1447</v>
      </c>
      <c r="C8" s="2185">
        <v>7.7200000000000005E-2</v>
      </c>
      <c r="D8" s="2183" t="s">
        <v>2156</v>
      </c>
      <c r="E8" s="2202" t="s">
        <v>2157</v>
      </c>
      <c r="F8" s="2189">
        <v>118295</v>
      </c>
      <c r="G8" s="2189">
        <f>-F8</f>
        <v>-118295</v>
      </c>
      <c r="H8" s="2186">
        <f>SUM(F8:G8)</f>
        <v>0</v>
      </c>
      <c r="I8" s="2187">
        <v>0</v>
      </c>
      <c r="J8" s="2188">
        <v>0</v>
      </c>
      <c r="K8" s="2188">
        <v>0</v>
      </c>
      <c r="L8" s="2125"/>
      <c r="M8" s="2126"/>
      <c r="N8" s="2126"/>
      <c r="O8" s="2120"/>
    </row>
    <row r="9" spans="1:15" s="2028" customFormat="1" thickBot="1">
      <c r="A9" s="2113"/>
      <c r="B9" s="2042" t="s">
        <v>2218</v>
      </c>
      <c r="C9" s="2042"/>
      <c r="D9" s="2181"/>
      <c r="F9" s="2115"/>
      <c r="G9" s="2115"/>
      <c r="H9" s="2117">
        <f>SUM(H8:H8)</f>
        <v>0</v>
      </c>
      <c r="I9" s="2117">
        <v>0</v>
      </c>
      <c r="J9" s="2121"/>
      <c r="K9" s="1972"/>
      <c r="L9" s="1972"/>
      <c r="M9" s="2124"/>
      <c r="N9" s="2124"/>
      <c r="O9" s="2118"/>
    </row>
    <row r="10" spans="1:15" s="2028" customFormat="1" thickTop="1">
      <c r="A10" s="2113"/>
      <c r="B10" s="2047"/>
      <c r="C10" s="2047"/>
      <c r="D10" s="2047"/>
      <c r="E10" s="2108"/>
      <c r="F10" s="2115"/>
      <c r="G10" s="2115"/>
      <c r="H10" s="2121"/>
      <c r="I10" s="2121"/>
      <c r="J10" s="2121"/>
      <c r="K10" s="1972"/>
      <c r="L10" s="1972"/>
      <c r="M10" s="2124"/>
      <c r="N10" s="2124"/>
      <c r="O10" s="2118"/>
    </row>
    <row r="11" spans="1:15" s="2028" customFormat="1" thickBot="1">
      <c r="A11" s="2113"/>
      <c r="B11" s="2049" t="s">
        <v>1537</v>
      </c>
      <c r="C11" s="2049"/>
      <c r="D11" s="2049"/>
      <c r="E11" s="2108"/>
      <c r="F11" s="2115"/>
      <c r="G11" s="2115"/>
      <c r="H11" s="2117">
        <v>120000</v>
      </c>
      <c r="I11" s="2117">
        <v>118295</v>
      </c>
      <c r="J11" s="2121"/>
      <c r="K11" s="1972"/>
      <c r="L11" s="1972"/>
      <c r="M11" s="2124"/>
      <c r="N11" s="2124"/>
      <c r="O11" s="2118"/>
    </row>
    <row r="12" spans="1:15" ht="6" customHeight="1" thickTop="1"/>
  </sheetData>
  <printOptions horizontalCentered="1"/>
  <pageMargins left="0.75" right="0.5" top="0.5" bottom="0.4" header="0.54" footer="0.2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Y134"/>
  <sheetViews>
    <sheetView view="pageBreakPreview" topLeftCell="D6" zoomScale="120" zoomScaleNormal="100" zoomScaleSheetLayoutView="120" workbookViewId="0">
      <selection activeCell="T6" sqref="T1:AF1048576"/>
    </sheetView>
  </sheetViews>
  <sheetFormatPr defaultColWidth="9" defaultRowHeight="12"/>
  <cols>
    <col min="1" max="1" width="5.75" style="1918" customWidth="1"/>
    <col min="2" max="2" width="4" style="1918" customWidth="1"/>
    <col min="3" max="3" width="38.875" style="1918" customWidth="1"/>
    <col min="4" max="4" width="5.625" style="1918" customWidth="1"/>
    <col min="5" max="5" width="12.75" style="2458" customWidth="1"/>
    <col min="6" max="6" width="0.875" style="1918" customWidth="1"/>
    <col min="7" max="7" width="12.5" style="1918" customWidth="1"/>
    <col min="8" max="8" width="0.875" style="1918" customWidth="1"/>
    <col min="9" max="9" width="1.75" style="1918" customWidth="1"/>
    <col min="10" max="10" width="8.625" style="1918" hidden="1" customWidth="1"/>
    <col min="11" max="11" width="9.875" style="1918" hidden="1" customWidth="1"/>
    <col min="12" max="12" width="18.875" style="1918" hidden="1" customWidth="1"/>
    <col min="13" max="13" width="16.375" style="1918" hidden="1" customWidth="1"/>
    <col min="14" max="14" width="9" style="1918" hidden="1" customWidth="1"/>
    <col min="15" max="15" width="11.875" style="1918" hidden="1" customWidth="1"/>
    <col min="16" max="16" width="11.5" style="1918" hidden="1" customWidth="1"/>
    <col min="17" max="17" width="19.375" style="1711" hidden="1" customWidth="1"/>
    <col min="18" max="18" width="11.75" style="1711" hidden="1" customWidth="1"/>
    <col min="19" max="19" width="12" style="1711" hidden="1" customWidth="1"/>
    <col min="20" max="20" width="12.75" style="1711" hidden="1" customWidth="1"/>
    <col min="21" max="21" width="22.5" style="1711" hidden="1" customWidth="1"/>
    <col min="22" max="23" width="12" style="1711" hidden="1" customWidth="1"/>
    <col min="24" max="24" width="9.375" style="1711" hidden="1" customWidth="1"/>
    <col min="25" max="25" width="9" style="1711" hidden="1" customWidth="1"/>
    <col min="26" max="32" width="0" style="1918" hidden="1" customWidth="1"/>
    <col min="33" max="16384" width="9" style="1918"/>
  </cols>
  <sheetData>
    <row r="1" spans="1:25">
      <c r="A1" s="1716" t="s">
        <v>671</v>
      </c>
      <c r="B1" s="1716"/>
      <c r="C1" s="1716"/>
      <c r="D1" s="1716"/>
      <c r="E1" s="1716"/>
      <c r="F1" s="1716"/>
      <c r="G1" s="1716"/>
      <c r="H1" s="1716"/>
    </row>
    <row r="2" spans="1:25">
      <c r="A2" s="1716" t="s">
        <v>1962</v>
      </c>
      <c r="B2" s="1716"/>
      <c r="C2" s="1716"/>
      <c r="D2" s="1716"/>
      <c r="E2" s="1716"/>
      <c r="F2" s="1716"/>
      <c r="G2" s="1716"/>
      <c r="H2" s="1716"/>
    </row>
    <row r="3" spans="1:25">
      <c r="A3" s="1743" t="s">
        <v>2459</v>
      </c>
      <c r="B3" s="1743"/>
      <c r="C3" s="1743"/>
      <c r="D3" s="1743"/>
      <c r="E3" s="1743"/>
      <c r="F3" s="1743"/>
      <c r="G3" s="1743"/>
      <c r="H3" s="1743"/>
      <c r="I3" s="1743"/>
      <c r="K3" s="1743"/>
      <c r="L3" s="1743"/>
      <c r="M3" s="1743"/>
    </row>
    <row r="4" spans="1:25">
      <c r="A4" s="1743"/>
      <c r="B4" s="1743"/>
      <c r="C4" s="1743"/>
      <c r="D4" s="1743"/>
      <c r="E4" s="1743"/>
      <c r="F4" s="1743"/>
      <c r="G4" s="1743"/>
      <c r="H4" s="1743"/>
      <c r="I4" s="1743"/>
      <c r="K4" s="1743"/>
      <c r="L4" s="1743"/>
      <c r="M4" s="1743"/>
    </row>
    <row r="5" spans="1:25" s="1940" customFormat="1" ht="11.25">
      <c r="A5" s="1939"/>
      <c r="B5" s="1939"/>
      <c r="C5" s="1939"/>
      <c r="D5" s="1939"/>
      <c r="E5" s="2873" t="s">
        <v>2277</v>
      </c>
      <c r="F5" s="2873"/>
      <c r="G5" s="2873"/>
      <c r="H5" s="1939"/>
      <c r="L5" s="2380">
        <v>264100</v>
      </c>
      <c r="Q5" s="1941"/>
      <c r="R5" s="1941"/>
      <c r="S5" s="1941"/>
      <c r="T5" s="1941"/>
      <c r="U5" s="1941"/>
      <c r="V5" s="1941"/>
      <c r="W5" s="1941"/>
      <c r="X5" s="1941"/>
      <c r="Y5" s="1941"/>
    </row>
    <row r="6" spans="1:25" s="1940" customFormat="1" ht="11.25">
      <c r="A6" s="1939"/>
      <c r="B6" s="1939"/>
      <c r="C6" s="1939"/>
      <c r="D6" s="1939"/>
      <c r="E6" s="2874" t="s">
        <v>1969</v>
      </c>
      <c r="F6" s="2874"/>
      <c r="G6" s="2874"/>
      <c r="H6" s="1939"/>
      <c r="K6" s="1941"/>
      <c r="L6" s="2380">
        <v>-467845</v>
      </c>
      <c r="Q6" s="1941"/>
      <c r="R6" s="1941"/>
      <c r="S6" s="1941"/>
      <c r="T6" s="1941"/>
      <c r="U6" s="1941"/>
      <c r="V6" s="1941"/>
      <c r="W6" s="1941"/>
      <c r="X6" s="1941"/>
      <c r="Y6" s="1941"/>
    </row>
    <row r="7" spans="1:25" s="1940" customFormat="1" ht="11.25">
      <c r="E7" s="1942">
        <v>2021</v>
      </c>
      <c r="F7" s="1942"/>
      <c r="G7" s="1942">
        <v>2020</v>
      </c>
      <c r="H7" s="1942"/>
      <c r="I7" s="1943"/>
      <c r="J7" s="1944">
        <v>44377</v>
      </c>
      <c r="L7" s="1940">
        <v>10542</v>
      </c>
      <c r="Q7" s="2875" t="s">
        <v>706</v>
      </c>
      <c r="R7" s="2875"/>
      <c r="S7" s="2875"/>
      <c r="T7" s="1941"/>
      <c r="U7" s="1941"/>
      <c r="V7" s="1941"/>
      <c r="W7" s="1941"/>
      <c r="X7" s="1941"/>
      <c r="Y7" s="1941"/>
    </row>
    <row r="8" spans="1:25" s="1940" customFormat="1" ht="11.25">
      <c r="C8" s="1945"/>
      <c r="D8" s="1946" t="s">
        <v>678</v>
      </c>
      <c r="E8" s="2875" t="s">
        <v>707</v>
      </c>
      <c r="F8" s="2875"/>
      <c r="G8" s="2875"/>
      <c r="H8" s="2875"/>
      <c r="I8" s="1947"/>
      <c r="Q8" s="1941"/>
      <c r="R8" s="1941"/>
      <c r="S8" s="1941"/>
      <c r="T8" s="1941"/>
      <c r="U8" s="1941"/>
      <c r="V8" s="1941"/>
      <c r="W8" s="1941"/>
      <c r="X8" s="1941"/>
      <c r="Y8" s="1941"/>
    </row>
    <row r="9" spans="1:25" s="1940" customFormat="1" ht="11.25">
      <c r="A9" s="1945" t="s">
        <v>708</v>
      </c>
      <c r="D9" s="1948"/>
      <c r="E9" s="2452"/>
      <c r="F9" s="1948"/>
      <c r="G9" s="1948"/>
      <c r="H9" s="1948"/>
      <c r="Q9" s="1941"/>
      <c r="R9" s="1941"/>
      <c r="S9" s="1941"/>
      <c r="T9" s="1941"/>
      <c r="U9" s="1941"/>
      <c r="V9" s="1941"/>
      <c r="W9" s="1941"/>
      <c r="X9" s="1941"/>
      <c r="Y9" s="1941"/>
    </row>
    <row r="10" spans="1:25" s="1940" customFormat="1" ht="11.25">
      <c r="A10" s="1940" t="s">
        <v>709</v>
      </c>
      <c r="D10" s="1948"/>
      <c r="E10" s="2360">
        <v>1405</v>
      </c>
      <c r="F10" s="2451"/>
      <c r="G10" s="2475">
        <v>3554</v>
      </c>
      <c r="H10" s="1948"/>
      <c r="J10" s="1951">
        <v>8160</v>
      </c>
      <c r="K10" s="2380"/>
      <c r="Q10" s="1941">
        <f>35210949+10413024-8543745</f>
        <v>37080228</v>
      </c>
      <c r="R10" s="1941">
        <f>+ROUND(Q10/1000,0)</f>
        <v>37080</v>
      </c>
      <c r="S10" s="1941" t="e">
        <f>+R10-#REF!</f>
        <v>#REF!</v>
      </c>
      <c r="T10" s="1941"/>
      <c r="U10" s="1941"/>
      <c r="V10" s="1941"/>
      <c r="W10" s="1941"/>
      <c r="X10" s="1941"/>
      <c r="Y10" s="1941"/>
    </row>
    <row r="11" spans="1:25" s="1940" customFormat="1" ht="11.25">
      <c r="A11" s="1940" t="s">
        <v>1451</v>
      </c>
      <c r="D11" s="1948"/>
      <c r="E11" s="2777">
        <v>3480</v>
      </c>
      <c r="F11" s="1948"/>
      <c r="G11" s="1949">
        <v>8742</v>
      </c>
      <c r="H11" s="1948"/>
      <c r="J11" s="1951">
        <v>19391</v>
      </c>
      <c r="K11" s="2380"/>
      <c r="L11" s="1940">
        <f>32428943-38754</f>
        <v>32390189</v>
      </c>
      <c r="Q11" s="1941">
        <f>35946013+2499340</f>
        <v>38445353</v>
      </c>
      <c r="R11" s="1941">
        <f>+ROUND(Q11/1000,0)</f>
        <v>38445</v>
      </c>
      <c r="S11" s="1941" t="e">
        <f>+R11-#REF!</f>
        <v>#REF!</v>
      </c>
      <c r="T11" s="1941"/>
      <c r="U11" s="1941"/>
      <c r="V11" s="1941"/>
      <c r="W11" s="1941"/>
      <c r="X11" s="1941"/>
      <c r="Y11" s="1941"/>
    </row>
    <row r="12" spans="1:25" s="1940" customFormat="1" ht="11.25">
      <c r="A12" s="1940" t="s">
        <v>2452</v>
      </c>
      <c r="D12" s="1948"/>
      <c r="E12" s="2360">
        <v>4961</v>
      </c>
      <c r="F12" s="1948"/>
      <c r="G12" s="1949">
        <v>3702</v>
      </c>
      <c r="H12" s="1948"/>
      <c r="J12" s="1951">
        <v>17268</v>
      </c>
      <c r="K12" s="2380"/>
      <c r="L12" s="2380">
        <v>-14851031</v>
      </c>
      <c r="Q12" s="1941">
        <v>38546771</v>
      </c>
      <c r="R12" s="1941">
        <f>+ROUND(Q12/1000,0)</f>
        <v>38547</v>
      </c>
      <c r="S12" s="1941" t="e">
        <f>+R12-#REF!</f>
        <v>#REF!</v>
      </c>
      <c r="T12" s="1941"/>
      <c r="U12" s="1941"/>
      <c r="V12" s="1941"/>
      <c r="W12" s="1941"/>
      <c r="X12" s="1941"/>
      <c r="Y12" s="1941"/>
    </row>
    <row r="13" spans="1:25" s="1940" customFormat="1" ht="11.25">
      <c r="A13" s="2776" t="s">
        <v>2406</v>
      </c>
      <c r="D13" s="1948"/>
      <c r="E13" s="2360">
        <v>1</v>
      </c>
      <c r="F13" s="1948"/>
      <c r="G13" s="1949">
        <v>1303</v>
      </c>
      <c r="H13" s="1948"/>
      <c r="J13" s="1951">
        <v>1866</v>
      </c>
      <c r="K13" s="2380"/>
      <c r="L13" s="2380">
        <v>-1697</v>
      </c>
      <c r="Q13" s="1941"/>
      <c r="R13" s="1941"/>
      <c r="S13" s="1941"/>
      <c r="T13" s="1941"/>
      <c r="U13" s="1941"/>
      <c r="V13" s="1941"/>
      <c r="W13" s="1941"/>
      <c r="X13" s="1941"/>
      <c r="Y13" s="1941"/>
    </row>
    <row r="14" spans="1:25" s="1940" customFormat="1" ht="11.25">
      <c r="A14" s="1940" t="s">
        <v>1337</v>
      </c>
      <c r="D14" s="1948"/>
      <c r="E14" s="2360">
        <v>5837</v>
      </c>
      <c r="F14" s="1948"/>
      <c r="G14" s="1949">
        <v>340</v>
      </c>
      <c r="H14" s="1948"/>
      <c r="J14" s="1951">
        <v>10123</v>
      </c>
      <c r="K14" s="2380"/>
      <c r="L14" s="2380">
        <v>440238</v>
      </c>
      <c r="Q14" s="1941"/>
      <c r="R14" s="1941"/>
      <c r="S14" s="1941"/>
      <c r="T14" s="1941"/>
      <c r="U14" s="1941"/>
      <c r="V14" s="1941"/>
      <c r="W14" s="1941"/>
      <c r="X14" s="1941"/>
      <c r="Y14" s="1941"/>
    </row>
    <row r="15" spans="1:25" s="1940" customFormat="1" ht="11.25">
      <c r="A15" s="1940" t="s">
        <v>1891</v>
      </c>
      <c r="D15" s="1948"/>
      <c r="E15" s="2360">
        <v>-848</v>
      </c>
      <c r="F15" s="2451"/>
      <c r="G15" s="2475">
        <v>-1907</v>
      </c>
      <c r="H15" s="1948"/>
      <c r="I15" s="1952"/>
      <c r="J15" s="1951">
        <v>2293</v>
      </c>
      <c r="K15" s="1950"/>
      <c r="L15" s="1940">
        <v>13888</v>
      </c>
      <c r="M15" s="1940" t="e">
        <v>#REF!</v>
      </c>
      <c r="Q15" s="1941">
        <f>17605109+43143-7864940-385116</f>
        <v>9398196</v>
      </c>
      <c r="R15" s="1941">
        <f>+ROUND(Q15/1000,0)</f>
        <v>9398</v>
      </c>
      <c r="S15" s="1941" t="e">
        <f>+R15-#REF!</f>
        <v>#REF!</v>
      </c>
      <c r="T15" s="1941"/>
      <c r="U15" s="1941"/>
      <c r="V15" s="1941"/>
      <c r="W15" s="1941"/>
      <c r="X15" s="1941"/>
      <c r="Y15" s="1941"/>
    </row>
    <row r="16" spans="1:25" s="1940" customFormat="1" ht="10.5" hidden="1" customHeight="1">
      <c r="A16" s="1940" t="s">
        <v>1337</v>
      </c>
      <c r="D16" s="1948"/>
      <c r="E16" s="2360">
        <v>0</v>
      </c>
      <c r="F16" s="1948"/>
      <c r="G16" s="1949">
        <v>0</v>
      </c>
      <c r="H16" s="1948"/>
      <c r="I16" s="1952"/>
      <c r="J16" s="1951">
        <v>0</v>
      </c>
      <c r="K16" s="1950"/>
      <c r="Q16" s="1941"/>
      <c r="R16" s="1941"/>
      <c r="S16" s="1941"/>
      <c r="T16" s="1941"/>
      <c r="U16" s="1953"/>
      <c r="V16" s="1941"/>
      <c r="W16" s="1941"/>
      <c r="X16" s="1941"/>
      <c r="Y16" s="1941"/>
    </row>
    <row r="17" spans="1:25" s="1940" customFormat="1" ht="10.5" hidden="1" customHeight="1">
      <c r="A17" s="1940" t="s">
        <v>1453</v>
      </c>
      <c r="D17" s="1948"/>
      <c r="E17" s="2360">
        <v>0</v>
      </c>
      <c r="F17" s="1948"/>
      <c r="G17" s="1949">
        <v>0</v>
      </c>
      <c r="H17" s="1948"/>
      <c r="I17" s="1952"/>
      <c r="J17" s="1951">
        <v>0</v>
      </c>
      <c r="K17" s="1950"/>
      <c r="Q17" s="1941">
        <v>15080770</v>
      </c>
      <c r="R17" s="1941">
        <f>+ROUND(Q17/1000,0)</f>
        <v>15081</v>
      </c>
      <c r="S17" s="1941" t="e">
        <f>+R17-#REF!</f>
        <v>#REF!</v>
      </c>
      <c r="T17" s="1941"/>
      <c r="U17" s="1953"/>
      <c r="V17" s="1941"/>
      <c r="W17" s="1941"/>
      <c r="X17" s="1941"/>
      <c r="Y17" s="1941"/>
    </row>
    <row r="18" spans="1:25" s="1940" customFormat="1" ht="12" hidden="1" customHeight="1">
      <c r="A18" s="1940" t="s">
        <v>1337</v>
      </c>
      <c r="D18" s="1948"/>
      <c r="E18" s="2360"/>
      <c r="F18" s="1948"/>
      <c r="G18" s="1948"/>
      <c r="H18" s="1948"/>
      <c r="I18" s="1952"/>
      <c r="J18" s="1951"/>
      <c r="K18" s="1950"/>
      <c r="Q18" s="1941">
        <v>13541250</v>
      </c>
      <c r="R18" s="1941">
        <f>+ROUND(Q18/1000,0)</f>
        <v>13541</v>
      </c>
      <c r="S18" s="1941" t="e">
        <f>+R18-#REF!</f>
        <v>#REF!</v>
      </c>
      <c r="T18" s="1941"/>
      <c r="U18" s="1953"/>
      <c r="V18" s="1941"/>
      <c r="W18" s="1941"/>
      <c r="X18" s="1941"/>
      <c r="Y18" s="1941"/>
    </row>
    <row r="19" spans="1:25" s="1940" customFormat="1" ht="10.5" hidden="1" customHeight="1">
      <c r="A19" s="1940" t="s">
        <v>2129</v>
      </c>
      <c r="D19" s="1948"/>
      <c r="E19" s="2360">
        <v>0</v>
      </c>
      <c r="F19" s="1948"/>
      <c r="G19" s="1949">
        <v>0</v>
      </c>
      <c r="H19" s="1948"/>
      <c r="I19" s="1952"/>
      <c r="J19" s="1951">
        <v>0</v>
      </c>
      <c r="K19" s="1950"/>
      <c r="Q19" s="1941">
        <v>-14941121</v>
      </c>
      <c r="R19" s="1941">
        <f>+ROUND(Q19/1000,0)</f>
        <v>-14941</v>
      </c>
      <c r="S19" s="1941" t="e">
        <f>+R19-#REF!</f>
        <v>#REF!</v>
      </c>
      <c r="T19" s="1941"/>
      <c r="U19" s="1953"/>
      <c r="V19" s="1941"/>
      <c r="W19" s="1941"/>
      <c r="X19" s="1941"/>
      <c r="Y19" s="1941"/>
    </row>
    <row r="20" spans="1:25" s="1940" customFormat="1" ht="10.5" customHeight="1">
      <c r="A20" s="1940" t="s">
        <v>2379</v>
      </c>
      <c r="D20" s="1948"/>
      <c r="E20" s="2360">
        <v>14048</v>
      </c>
      <c r="F20" s="1948"/>
      <c r="G20" s="1949">
        <v>1390</v>
      </c>
      <c r="H20" s="1948"/>
      <c r="I20" s="1952"/>
      <c r="J20" s="1951">
        <v>1243</v>
      </c>
      <c r="K20" s="1950"/>
      <c r="Q20" s="1941"/>
      <c r="R20" s="1941"/>
      <c r="S20" s="1941"/>
      <c r="T20" s="1941"/>
      <c r="U20" s="1953"/>
      <c r="V20" s="1941"/>
      <c r="W20" s="1941"/>
      <c r="X20" s="1941"/>
      <c r="Y20" s="1941"/>
    </row>
    <row r="21" spans="1:25" s="1940" customFormat="1" ht="10.5" customHeight="1">
      <c r="A21" s="1940" t="s">
        <v>2405</v>
      </c>
      <c r="D21" s="1948"/>
      <c r="E21" s="2360">
        <v>5585</v>
      </c>
      <c r="F21" s="1948"/>
      <c r="G21" s="1949">
        <v>7592</v>
      </c>
      <c r="H21" s="1948"/>
      <c r="I21" s="1952"/>
      <c r="J21" s="1951">
        <v>7652</v>
      </c>
      <c r="K21" s="1950"/>
      <c r="Q21" s="1941"/>
      <c r="R21" s="1941"/>
      <c r="S21" s="1941"/>
      <c r="T21" s="1941"/>
      <c r="U21" s="1953"/>
      <c r="V21" s="1941"/>
      <c r="W21" s="1941"/>
      <c r="X21" s="1941"/>
      <c r="Y21" s="1941"/>
    </row>
    <row r="22" spans="1:25" s="1940" customFormat="1" ht="11.25">
      <c r="A22" s="1953" t="s">
        <v>2131</v>
      </c>
      <c r="D22" s="1954"/>
      <c r="E22" s="2360"/>
      <c r="F22" s="1954"/>
      <c r="G22" s="1954"/>
      <c r="H22" s="1954"/>
      <c r="I22" s="1952"/>
      <c r="J22" s="1951"/>
      <c r="K22" s="1950"/>
      <c r="L22" s="1940">
        <f>-115+467</f>
        <v>352</v>
      </c>
      <c r="M22" s="2832">
        <f>E23-'1-4.1'!G401</f>
        <v>0</v>
      </c>
      <c r="Q22" s="1941"/>
      <c r="R22" s="1941"/>
      <c r="S22" s="1941"/>
      <c r="T22" s="1941"/>
      <c r="U22" s="1953"/>
      <c r="V22" s="1941"/>
      <c r="W22" s="1941"/>
      <c r="X22" s="1941"/>
      <c r="Y22" s="1941"/>
    </row>
    <row r="23" spans="1:25" s="1940" customFormat="1" ht="11.25">
      <c r="A23" s="1955" t="s">
        <v>2149</v>
      </c>
      <c r="D23" s="1948">
        <f>'1-4.1'!A395</f>
        <v>7.5</v>
      </c>
      <c r="E23" s="2360">
        <v>-15683.60699999996</v>
      </c>
      <c r="F23" s="1949"/>
      <c r="G23" s="1949">
        <v>-7207</v>
      </c>
      <c r="H23" s="1948"/>
      <c r="I23" s="1952"/>
      <c r="J23" s="1951">
        <v>-509</v>
      </c>
      <c r="K23" s="1950"/>
      <c r="Q23" s="1941"/>
      <c r="R23" s="1941"/>
      <c r="S23" s="1941"/>
      <c r="T23" s="1941"/>
      <c r="U23" s="1953"/>
      <c r="V23" s="1941"/>
      <c r="W23" s="1941"/>
      <c r="X23" s="1941"/>
      <c r="Y23" s="1941"/>
    </row>
    <row r="24" spans="1:25" s="1940" customFormat="1" ht="12" hidden="1" customHeight="1">
      <c r="A24" s="1956" t="s">
        <v>1848</v>
      </c>
      <c r="D24" s="1957"/>
      <c r="E24" s="2361"/>
      <c r="F24" s="1957"/>
      <c r="G24" s="1957"/>
      <c r="H24" s="1957"/>
      <c r="I24" s="1952"/>
      <c r="J24" s="1951"/>
      <c r="K24" s="1950"/>
      <c r="Q24" s="1941"/>
      <c r="R24" s="1941"/>
      <c r="S24" s="1941"/>
      <c r="T24" s="1941"/>
      <c r="U24" s="1953"/>
      <c r="V24" s="1941"/>
      <c r="W24" s="1941"/>
      <c r="X24" s="1941"/>
      <c r="Y24" s="1941"/>
    </row>
    <row r="25" spans="1:25" s="1940" customFormat="1" ht="11.25">
      <c r="A25" s="1940" t="s">
        <v>711</v>
      </c>
      <c r="D25" s="1948"/>
      <c r="E25" s="2360">
        <v>274</v>
      </c>
      <c r="F25" s="1948"/>
      <c r="G25" s="1949">
        <v>24</v>
      </c>
      <c r="H25" s="1948"/>
      <c r="I25" s="1952"/>
      <c r="J25" s="1951">
        <v>737</v>
      </c>
      <c r="K25" s="1950"/>
      <c r="L25" s="1940">
        <f>19059-19067</f>
        <v>-8</v>
      </c>
      <c r="Q25" s="1941">
        <v>267404</v>
      </c>
      <c r="R25" s="1941">
        <f>+ROUND(Q25/1000,0)</f>
        <v>267</v>
      </c>
      <c r="S25" s="1941" t="e">
        <f>+R25-#REF!</f>
        <v>#REF!</v>
      </c>
      <c r="T25" s="1941"/>
      <c r="U25" s="1941"/>
      <c r="V25" s="2872" t="s">
        <v>715</v>
      </c>
      <c r="W25" s="2872"/>
      <c r="X25" s="2872" t="s">
        <v>716</v>
      </c>
      <c r="Y25" s="2872"/>
    </row>
    <row r="26" spans="1:25" s="1940" customFormat="1" ht="11.25">
      <c r="A26" s="1945" t="s">
        <v>714</v>
      </c>
      <c r="D26" s="1948"/>
      <c r="E26" s="2476">
        <v>19059.39300000004</v>
      </c>
      <c r="F26" s="1948"/>
      <c r="G26" s="2477">
        <v>17533</v>
      </c>
      <c r="H26" s="1948"/>
      <c r="J26" s="1960">
        <v>42176</v>
      </c>
      <c r="K26" s="2380">
        <f>17533-E26</f>
        <v>-1526.39300000004</v>
      </c>
      <c r="L26" s="1941">
        <f>K26/1000</f>
        <v>-1.5263930000000401</v>
      </c>
      <c r="M26" s="1941">
        <f>L26-E26</f>
        <v>-19060.91939300004</v>
      </c>
      <c r="Q26" s="1961"/>
      <c r="R26" s="1961"/>
      <c r="S26" s="1959" t="e">
        <f>SUM(S10:S25)</f>
        <v>#REF!</v>
      </c>
      <c r="T26" s="1941"/>
      <c r="U26" s="1941"/>
      <c r="V26" s="1963" t="s">
        <v>718</v>
      </c>
      <c r="W26" s="1963" t="s">
        <v>719</v>
      </c>
      <c r="X26" s="1941"/>
      <c r="Y26" s="1941"/>
    </row>
    <row r="27" spans="1:25" s="1940" customFormat="1" ht="11.25">
      <c r="D27" s="1948"/>
      <c r="E27" s="2453"/>
      <c r="F27" s="1948"/>
      <c r="G27" s="1948"/>
      <c r="H27" s="1948"/>
      <c r="K27" s="2380"/>
      <c r="Q27" s="1941"/>
      <c r="R27" s="1941"/>
      <c r="S27" s="1941"/>
      <c r="T27" s="1941"/>
      <c r="U27" s="1941"/>
    </row>
    <row r="28" spans="1:25" s="1940" customFormat="1" ht="11.25">
      <c r="A28" s="1962" t="s">
        <v>717</v>
      </c>
      <c r="D28" s="1948"/>
      <c r="E28" s="2452"/>
      <c r="F28" s="1948"/>
      <c r="G28" s="1948"/>
      <c r="H28" s="1948"/>
      <c r="I28" s="1952"/>
      <c r="L28" s="1965">
        <f>+'TB 18'!D160</f>
        <v>0</v>
      </c>
      <c r="Q28" s="1941"/>
      <c r="R28" s="1941"/>
      <c r="S28" s="1941"/>
      <c r="T28" s="1941"/>
      <c r="U28" s="1941" t="s">
        <v>731</v>
      </c>
      <c r="V28" s="1941">
        <v>1326339</v>
      </c>
      <c r="W28" s="1941">
        <v>919788</v>
      </c>
      <c r="X28" s="1941">
        <v>33449</v>
      </c>
    </row>
    <row r="29" spans="1:25" s="1940" customFormat="1" ht="11.25">
      <c r="A29" s="1993" t="s">
        <v>720</v>
      </c>
      <c r="B29" s="1993"/>
      <c r="C29" s="1993"/>
      <c r="D29" s="2191"/>
      <c r="E29" s="2778">
        <v>1993</v>
      </c>
      <c r="F29" s="1964"/>
      <c r="G29" s="2478">
        <v>1372</v>
      </c>
      <c r="H29" s="1964"/>
      <c r="J29" s="1965">
        <v>6124</v>
      </c>
      <c r="K29" s="1940">
        <f>366+79</f>
        <v>445</v>
      </c>
      <c r="Q29" s="1941" t="e">
        <f>+#REF!*1000</f>
        <v>#REF!</v>
      </c>
      <c r="R29" s="1941" t="e">
        <f t="shared" ref="R29:R43" si="0">+ROUND(Q29/1000,0)</f>
        <v>#REF!</v>
      </c>
      <c r="S29" s="1941" t="e">
        <f>+R29-#REF!</f>
        <v>#REF!</v>
      </c>
      <c r="T29" s="1941"/>
      <c r="U29" s="1941" t="s">
        <v>722</v>
      </c>
      <c r="V29" s="1941">
        <v>341144</v>
      </c>
      <c r="W29" s="1941">
        <v>184293</v>
      </c>
      <c r="X29" s="1941"/>
      <c r="Y29" s="1941"/>
    </row>
    <row r="30" spans="1:25" s="1940" customFormat="1" ht="11.25">
      <c r="A30" s="1993" t="s">
        <v>2174</v>
      </c>
      <c r="D30" s="2156"/>
      <c r="E30" s="2480">
        <v>259</v>
      </c>
      <c r="F30" s="1966"/>
      <c r="G30" s="2258">
        <v>178</v>
      </c>
      <c r="H30" s="1966"/>
      <c r="J30" s="1965">
        <v>796</v>
      </c>
      <c r="L30" s="1940">
        <f>'TB 18'!$J$159</f>
        <v>161</v>
      </c>
      <c r="M30" s="2380">
        <v>760038</v>
      </c>
      <c r="Q30" s="1941" t="e">
        <f>+#REF!*1000</f>
        <v>#REF!</v>
      </c>
      <c r="R30" s="1941" t="e">
        <f t="shared" si="0"/>
        <v>#REF!</v>
      </c>
      <c r="S30" s="1941" t="e">
        <f>+R30-#REF!</f>
        <v>#REF!</v>
      </c>
      <c r="T30" s="1967" t="e">
        <f>R30/R29</f>
        <v>#REF!</v>
      </c>
      <c r="U30" s="1941" t="s">
        <v>724</v>
      </c>
      <c r="V30" s="1941">
        <v>290835</v>
      </c>
      <c r="W30" s="1941">
        <v>260070</v>
      </c>
      <c r="X30" s="1941">
        <v>125</v>
      </c>
      <c r="Y30" s="1941"/>
    </row>
    <row r="31" spans="1:25" s="1940" customFormat="1" ht="11.25">
      <c r="A31" s="1993" t="s">
        <v>725</v>
      </c>
      <c r="D31" s="2156"/>
      <c r="E31" s="2479">
        <v>142</v>
      </c>
      <c r="F31" s="1966"/>
      <c r="G31" s="2258">
        <v>131</v>
      </c>
      <c r="H31" s="1966"/>
      <c r="J31" s="1965"/>
      <c r="L31" s="1940">
        <f>'TB 18'!D160</f>
        <v>0</v>
      </c>
      <c r="M31" s="2380">
        <v>145953</v>
      </c>
      <c r="Q31" s="1941"/>
      <c r="R31" s="1941"/>
      <c r="S31" s="1941"/>
      <c r="T31" s="1967"/>
      <c r="U31" s="1941"/>
      <c r="V31" s="1941"/>
      <c r="W31" s="1941"/>
      <c r="X31" s="1941"/>
      <c r="Y31" s="1941"/>
    </row>
    <row r="32" spans="1:25" s="1940" customFormat="1" ht="11.25" hidden="1">
      <c r="B32" s="1993"/>
      <c r="C32" s="1993"/>
      <c r="D32" s="1964"/>
      <c r="E32" s="2480"/>
      <c r="F32" s="1964"/>
      <c r="G32" s="2259"/>
      <c r="H32" s="1964"/>
      <c r="J32" s="1965">
        <v>799</v>
      </c>
      <c r="Q32" s="1941">
        <v>3299505</v>
      </c>
      <c r="R32" s="1941">
        <f t="shared" si="0"/>
        <v>3300</v>
      </c>
      <c r="S32" s="1941" t="e">
        <f>+R32-#REF!</f>
        <v>#REF!</v>
      </c>
      <c r="T32" s="1941"/>
      <c r="U32" s="1941" t="s">
        <v>727</v>
      </c>
      <c r="V32" s="1941">
        <v>146971</v>
      </c>
      <c r="W32" s="1941">
        <v>148237</v>
      </c>
      <c r="X32" s="1941"/>
      <c r="Y32" s="1941"/>
    </row>
    <row r="33" spans="1:25" s="1940" customFormat="1" ht="11.25">
      <c r="A33" s="1956" t="s">
        <v>2175</v>
      </c>
      <c r="B33" s="1993"/>
      <c r="C33" s="1993"/>
      <c r="D33" s="1964"/>
      <c r="E33" s="2479"/>
      <c r="F33" s="1964"/>
      <c r="G33" s="2259"/>
      <c r="H33" s="1964"/>
      <c r="J33" s="1965"/>
      <c r="L33" s="1940" t="s">
        <v>2244</v>
      </c>
      <c r="Q33" s="1941"/>
      <c r="R33" s="1941"/>
      <c r="S33" s="1941"/>
      <c r="T33" s="1941"/>
      <c r="U33" s="1941"/>
      <c r="V33" s="1941"/>
      <c r="W33" s="1941"/>
      <c r="X33" s="1941"/>
      <c r="Y33" s="1941"/>
    </row>
    <row r="34" spans="1:25" s="1940" customFormat="1" ht="11.25">
      <c r="A34" s="1958" t="s">
        <v>2176</v>
      </c>
      <c r="B34" s="1956"/>
      <c r="C34" s="1956"/>
      <c r="D34" s="1964"/>
      <c r="E34" s="2479">
        <v>19</v>
      </c>
      <c r="F34" s="1964"/>
      <c r="G34" s="2259">
        <v>17</v>
      </c>
      <c r="H34" s="1964"/>
      <c r="J34" s="1965">
        <v>104</v>
      </c>
      <c r="L34" s="1965">
        <f>76192/1000</f>
        <v>76.191999999999993</v>
      </c>
      <c r="Q34" s="1941">
        <v>0</v>
      </c>
      <c r="R34" s="1941">
        <f t="shared" si="0"/>
        <v>0</v>
      </c>
      <c r="S34" s="1941" t="e">
        <f>+R34-#REF!</f>
        <v>#REF!</v>
      </c>
      <c r="T34" s="1941"/>
      <c r="U34" s="1941" t="s">
        <v>729</v>
      </c>
      <c r="V34" s="1941">
        <v>592436</v>
      </c>
      <c r="W34" s="1941">
        <v>529500</v>
      </c>
      <c r="X34" s="1941">
        <v>1062</v>
      </c>
      <c r="Y34" s="1941"/>
    </row>
    <row r="35" spans="1:25" s="1940" customFormat="1" ht="11.25">
      <c r="A35" s="1993" t="s">
        <v>2130</v>
      </c>
      <c r="B35" s="1993"/>
      <c r="C35" s="1993"/>
      <c r="D35" s="1964"/>
      <c r="E35" s="2480">
        <v>38</v>
      </c>
      <c r="F35" s="1964"/>
      <c r="G35" s="2259">
        <v>35</v>
      </c>
      <c r="H35" s="1964"/>
      <c r="J35" s="1965">
        <v>361</v>
      </c>
      <c r="Q35" s="1941">
        <v>1826117</v>
      </c>
      <c r="R35" s="1941">
        <f t="shared" si="0"/>
        <v>1826</v>
      </c>
      <c r="S35" s="1941" t="e">
        <f>+R35-#REF!</f>
        <v>#REF!</v>
      </c>
      <c r="T35" s="1941"/>
      <c r="U35" s="1941"/>
      <c r="V35" s="1941">
        <f>SUM(V28:V34)</f>
        <v>2697725</v>
      </c>
      <c r="W35" s="1941">
        <f>SUM(W28:W34)</f>
        <v>2041888</v>
      </c>
      <c r="X35" s="1941"/>
      <c r="Y35" s="1941"/>
    </row>
    <row r="36" spans="1:25" s="1940" customFormat="1" ht="11.25">
      <c r="A36" s="1993" t="s">
        <v>2309</v>
      </c>
      <c r="B36" s="1993"/>
      <c r="C36" s="1993"/>
      <c r="D36" s="1964"/>
      <c r="E36" s="2480">
        <v>189</v>
      </c>
      <c r="F36" s="1964"/>
      <c r="G36" s="2259">
        <v>176</v>
      </c>
      <c r="H36" s="1964"/>
      <c r="J36" s="1965">
        <v>545</v>
      </c>
      <c r="L36" s="2380">
        <v>6001321</v>
      </c>
      <c r="Q36" s="1941">
        <f>2751305+802</f>
        <v>2752107</v>
      </c>
      <c r="R36" s="1941">
        <f t="shared" si="0"/>
        <v>2752</v>
      </c>
      <c r="S36" s="1941" t="e">
        <f>+R36-#REF!</f>
        <v>#REF!</v>
      </c>
      <c r="T36" s="1941"/>
      <c r="U36" s="1941"/>
      <c r="V36" s="1941"/>
      <c r="W36" s="1941"/>
      <c r="X36" s="1941"/>
      <c r="Y36" s="1941"/>
    </row>
    <row r="37" spans="1:25" s="1940" customFormat="1" ht="11.25">
      <c r="A37" s="1993" t="s">
        <v>2264</v>
      </c>
      <c r="B37" s="1993"/>
      <c r="C37" s="1993"/>
      <c r="D37" s="1964"/>
      <c r="E37" s="2480">
        <v>165</v>
      </c>
      <c r="F37" s="1964"/>
      <c r="G37" s="2259">
        <v>1314</v>
      </c>
      <c r="H37" s="1964"/>
      <c r="J37" s="1965"/>
      <c r="L37" s="2380">
        <v>2491169</v>
      </c>
      <c r="Q37" s="1941"/>
      <c r="R37" s="1941"/>
      <c r="S37" s="1941"/>
      <c r="T37" s="1941"/>
      <c r="U37" s="1941"/>
      <c r="V37" s="1941"/>
      <c r="W37" s="1941"/>
      <c r="X37" s="1941"/>
      <c r="Y37" s="1941"/>
    </row>
    <row r="38" spans="1:25" s="1940" customFormat="1" ht="11.25">
      <c r="A38" s="1993" t="s">
        <v>731</v>
      </c>
      <c r="B38" s="1993"/>
      <c r="C38" s="1993"/>
      <c r="D38" s="1954"/>
      <c r="E38" s="2479">
        <v>1349</v>
      </c>
      <c r="F38" s="1954"/>
      <c r="G38" s="2258">
        <v>445</v>
      </c>
      <c r="H38" s="1954"/>
      <c r="J38" s="1965">
        <v>224</v>
      </c>
      <c r="K38" s="2380">
        <v>207593</v>
      </c>
      <c r="L38" s="2380">
        <v>64383</v>
      </c>
      <c r="Q38" s="1941">
        <f>4839717+1408185+66270</f>
        <v>6314172</v>
      </c>
      <c r="R38" s="1941">
        <f t="shared" si="0"/>
        <v>6314</v>
      </c>
      <c r="S38" s="1941" t="e">
        <f>+R38-#REF!</f>
        <v>#REF!</v>
      </c>
      <c r="T38" s="1941"/>
      <c r="U38" s="1941"/>
      <c r="V38" s="1941"/>
      <c r="W38" s="1941"/>
      <c r="X38" s="1941"/>
      <c r="Y38" s="1941"/>
    </row>
    <row r="39" spans="1:25" s="1940" customFormat="1" ht="11.25">
      <c r="A39" s="1970" t="s">
        <v>2311</v>
      </c>
      <c r="B39" s="1993"/>
      <c r="C39" s="1993"/>
      <c r="D39" s="1954"/>
      <c r="E39" s="2479">
        <v>0</v>
      </c>
      <c r="F39" s="1954"/>
      <c r="G39" s="2258">
        <v>78</v>
      </c>
      <c r="H39" s="1954"/>
      <c r="J39" s="1965">
        <v>0</v>
      </c>
      <c r="K39" s="2380">
        <v>77082</v>
      </c>
      <c r="L39" s="2380">
        <v>2248557</v>
      </c>
      <c r="Q39" s="1941">
        <v>1928848</v>
      </c>
      <c r="R39" s="1941">
        <f t="shared" si="0"/>
        <v>1929</v>
      </c>
      <c r="S39" s="1941" t="e">
        <f>+R39-#REF!</f>
        <v>#REF!</v>
      </c>
      <c r="T39" s="1941"/>
      <c r="U39" s="1941"/>
      <c r="V39" s="1941"/>
      <c r="W39" s="1941"/>
      <c r="X39" s="1941"/>
      <c r="Y39" s="1941"/>
    </row>
    <row r="40" spans="1:25" s="1940" customFormat="1" ht="11.25">
      <c r="A40" s="1993" t="s">
        <v>724</v>
      </c>
      <c r="B40" s="1993"/>
      <c r="C40" s="1993"/>
      <c r="E40" s="2479">
        <v>214</v>
      </c>
      <c r="G40" s="2481">
        <v>171</v>
      </c>
      <c r="J40" s="1965">
        <v>308</v>
      </c>
      <c r="L40" s="2380">
        <v>-243463</v>
      </c>
      <c r="Q40" s="1941">
        <v>598774</v>
      </c>
      <c r="R40" s="1941">
        <f t="shared" si="0"/>
        <v>599</v>
      </c>
      <c r="S40" s="1941" t="e">
        <f>+R40-#REF!</f>
        <v>#REF!</v>
      </c>
      <c r="T40" s="1941"/>
      <c r="U40" s="1941"/>
      <c r="V40" s="1941"/>
      <c r="W40" s="1941"/>
      <c r="X40" s="1941"/>
      <c r="Y40" s="1941"/>
    </row>
    <row r="41" spans="1:25" s="1940" customFormat="1" ht="11.25">
      <c r="A41" s="1993" t="s">
        <v>1866</v>
      </c>
      <c r="B41" s="1993"/>
      <c r="C41" s="1993"/>
      <c r="E41" s="2479">
        <v>435</v>
      </c>
      <c r="G41" s="2481">
        <v>34</v>
      </c>
      <c r="J41" s="1965">
        <v>91</v>
      </c>
      <c r="K41" s="1940">
        <v>48323</v>
      </c>
      <c r="L41" s="2380">
        <v>779399</v>
      </c>
      <c r="M41" s="1940">
        <v>73087.694709999996</v>
      </c>
      <c r="O41" s="1940">
        <v>16580</v>
      </c>
      <c r="Q41" s="1941">
        <v>23370.094710000001</v>
      </c>
      <c r="R41" s="1941"/>
      <c r="S41" s="1941"/>
      <c r="T41" s="1941"/>
      <c r="U41" s="1941"/>
      <c r="V41" s="1941"/>
      <c r="W41" s="1941"/>
      <c r="X41" s="1941"/>
      <c r="Y41" s="1941"/>
    </row>
    <row r="42" spans="1:25" s="1940" customFormat="1" ht="11.25">
      <c r="A42" s="1993" t="s">
        <v>732</v>
      </c>
      <c r="B42" s="1993"/>
      <c r="C42" s="1993"/>
      <c r="D42" s="1964"/>
      <c r="E42" s="2479">
        <v>145</v>
      </c>
      <c r="F42" s="1964"/>
      <c r="G42" s="2259">
        <v>145</v>
      </c>
      <c r="H42" s="1964"/>
      <c r="J42" s="1965">
        <v>337</v>
      </c>
      <c r="L42" s="2380">
        <v>694564</v>
      </c>
      <c r="Q42" s="1941">
        <v>591561</v>
      </c>
      <c r="R42" s="1941">
        <f t="shared" si="0"/>
        <v>592</v>
      </c>
      <c r="S42" s="1941" t="e">
        <f>+R42-#REF!</f>
        <v>#REF!</v>
      </c>
      <c r="T42" s="1941"/>
      <c r="U42" s="1941"/>
      <c r="V42" s="1941"/>
      <c r="W42" s="1941"/>
      <c r="X42" s="1941"/>
      <c r="Y42" s="1941"/>
    </row>
    <row r="43" spans="1:25" s="1940" customFormat="1" ht="11.25">
      <c r="A43" s="1993" t="s">
        <v>733</v>
      </c>
      <c r="B43" s="1993"/>
      <c r="C43" s="1993"/>
      <c r="D43" s="1954"/>
      <c r="E43" s="2479">
        <v>58</v>
      </c>
      <c r="F43" s="1954"/>
      <c r="G43" s="2258">
        <v>26</v>
      </c>
      <c r="H43" s="1954"/>
      <c r="J43" s="1965">
        <v>72</v>
      </c>
      <c r="L43" s="2380">
        <v>-8282</v>
      </c>
      <c r="Q43" s="1941">
        <v>520700</v>
      </c>
      <c r="R43" s="1941">
        <f t="shared" si="0"/>
        <v>521</v>
      </c>
      <c r="S43" s="1941" t="e">
        <f>+R43-#REF!</f>
        <v>#REF!</v>
      </c>
      <c r="T43" s="1941"/>
      <c r="U43" s="1941"/>
      <c r="V43" s="1941"/>
      <c r="W43" s="1941"/>
      <c r="X43" s="1941"/>
      <c r="Y43" s="1941"/>
    </row>
    <row r="44" spans="1:25" s="1940" customFormat="1" ht="11.25">
      <c r="A44" s="1993" t="s">
        <v>2220</v>
      </c>
      <c r="B44" s="1993"/>
      <c r="C44" s="1993"/>
      <c r="D44" s="1954"/>
      <c r="E44" s="2482">
        <v>28</v>
      </c>
      <c r="F44" s="1954"/>
      <c r="G44" s="2483">
        <v>1</v>
      </c>
      <c r="H44" s="1954"/>
      <c r="J44" s="1965">
        <v>25</v>
      </c>
      <c r="Q44" s="1941"/>
      <c r="R44" s="1941"/>
      <c r="S44" s="1941"/>
      <c r="T44" s="1941"/>
      <c r="U44" s="1941"/>
      <c r="V44" s="1941"/>
      <c r="W44" s="1941"/>
      <c r="X44" s="1941"/>
      <c r="Y44" s="1941"/>
    </row>
    <row r="45" spans="1:25" s="1970" customFormat="1" ht="11.25">
      <c r="A45" s="1969" t="s">
        <v>734</v>
      </c>
      <c r="D45" s="1971"/>
      <c r="E45" s="2484">
        <v>5034</v>
      </c>
      <c r="F45" s="1971"/>
      <c r="G45" s="1972">
        <v>4123</v>
      </c>
      <c r="H45" s="1971"/>
      <c r="J45" s="1972">
        <v>9786</v>
      </c>
      <c r="K45" s="1970">
        <f>5075-4825</f>
        <v>250</v>
      </c>
      <c r="L45" s="1970">
        <v>1866</v>
      </c>
      <c r="Q45" s="1972" t="e">
        <f>SUM(Q29:Q44)</f>
        <v>#REF!</v>
      </c>
      <c r="R45" s="1972" t="e">
        <f>SUM(R29:R44)</f>
        <v>#REF!</v>
      </c>
      <c r="S45" s="1972" t="e">
        <f>SUM(S29:S44)</f>
        <v>#REF!</v>
      </c>
      <c r="T45" s="1973"/>
      <c r="U45" s="1973"/>
      <c r="V45" s="1973"/>
      <c r="W45" s="1973"/>
      <c r="X45" s="1973"/>
      <c r="Y45" s="1973"/>
    </row>
    <row r="46" spans="1:25" s="1940" customFormat="1" ht="12" hidden="1" customHeight="1">
      <c r="A46" s="1993"/>
      <c r="B46" s="1993"/>
      <c r="C46" s="1993"/>
      <c r="D46" s="1954"/>
      <c r="E46" s="2360"/>
      <c r="F46" s="1954"/>
      <c r="G46" s="1954"/>
      <c r="H46" s="1954"/>
      <c r="Q46" s="1941"/>
      <c r="R46" s="1941"/>
      <c r="S46" s="1941"/>
      <c r="T46" s="1941"/>
      <c r="U46" s="1941"/>
      <c r="V46" s="1941"/>
      <c r="W46" s="1941"/>
      <c r="X46" s="1941"/>
      <c r="Y46" s="1941"/>
    </row>
    <row r="47" spans="1:25" s="1940" customFormat="1" ht="5.0999999999999996" customHeight="1">
      <c r="A47" s="1975"/>
      <c r="B47" s="1952"/>
      <c r="C47" s="1952"/>
      <c r="D47" s="1976"/>
      <c r="E47" s="2361"/>
      <c r="F47" s="1976"/>
      <c r="G47" s="1976"/>
      <c r="H47" s="1976"/>
      <c r="Q47" s="1941"/>
      <c r="R47" s="1941"/>
      <c r="S47" s="1941"/>
      <c r="T47" s="1941"/>
      <c r="U47" s="1941"/>
      <c r="V47" s="1941"/>
      <c r="W47" s="1941"/>
      <c r="X47" s="1941"/>
      <c r="Y47" s="1941"/>
    </row>
    <row r="48" spans="1:25" s="1940" customFormat="1" ht="11.25">
      <c r="A48" s="1939" t="s">
        <v>735</v>
      </c>
      <c r="B48" s="1993"/>
      <c r="C48" s="1993"/>
      <c r="D48" s="1954"/>
      <c r="E48" s="2485">
        <v>14025.13300000004</v>
      </c>
      <c r="F48" s="1954"/>
      <c r="G48" s="1961">
        <v>13410</v>
      </c>
      <c r="H48" s="1954"/>
      <c r="J48" s="1961">
        <v>32390</v>
      </c>
      <c r="Q48" s="1961" t="e">
        <f>+Q26-Q45</f>
        <v>#REF!</v>
      </c>
      <c r="R48" s="1961" t="e">
        <f>+R26-R45</f>
        <v>#REF!</v>
      </c>
      <c r="S48" s="1961" t="e">
        <f>+S26-S45</f>
        <v>#REF!</v>
      </c>
      <c r="T48" s="1941">
        <v>213188</v>
      </c>
      <c r="U48" s="1941" t="e">
        <f>T48-#REF!</f>
        <v>#REF!</v>
      </c>
      <c r="V48" s="1941"/>
      <c r="W48" s="1941"/>
      <c r="X48" s="1941"/>
      <c r="Y48" s="1941"/>
    </row>
    <row r="49" spans="1:25" s="1940" customFormat="1" ht="6" hidden="1" customHeight="1">
      <c r="A49" s="1974"/>
      <c r="D49" s="1948"/>
      <c r="E49" s="2360"/>
      <c r="F49" s="1948"/>
      <c r="G49" s="1948"/>
      <c r="H49" s="1948"/>
      <c r="Q49" s="1941"/>
      <c r="R49" s="1941"/>
      <c r="S49" s="1941"/>
      <c r="T49" s="1941"/>
      <c r="U49" s="1941"/>
      <c r="V49" s="1941"/>
      <c r="W49" s="1941"/>
      <c r="X49" s="1941"/>
      <c r="Y49" s="1941"/>
    </row>
    <row r="50" spans="1:25" s="1940" customFormat="1" ht="12" hidden="1" customHeight="1">
      <c r="A50" s="1956" t="s">
        <v>1668</v>
      </c>
      <c r="D50" s="1948"/>
      <c r="E50" s="2360"/>
      <c r="F50" s="1948"/>
      <c r="G50" s="1948"/>
      <c r="H50" s="1948"/>
      <c r="I50" s="1952"/>
      <c r="Q50" s="1941"/>
      <c r="R50" s="1941"/>
      <c r="S50" s="1941"/>
      <c r="T50" s="1941"/>
      <c r="U50" s="1941"/>
      <c r="V50" s="1941"/>
      <c r="W50" s="1941"/>
      <c r="X50" s="1941"/>
      <c r="Y50" s="1941"/>
    </row>
    <row r="51" spans="1:25" s="1940" customFormat="1" ht="12" hidden="1" customHeight="1">
      <c r="A51" s="1956" t="s">
        <v>751</v>
      </c>
      <c r="D51" s="1948"/>
      <c r="E51" s="2360"/>
      <c r="F51" s="1948"/>
      <c r="G51" s="1948"/>
      <c r="H51" s="1948"/>
      <c r="I51" s="1952"/>
      <c r="Q51" s="1941">
        <v>1464000</v>
      </c>
      <c r="R51" s="1941">
        <f>+ROUND(Q51/1000,0)</f>
        <v>1464</v>
      </c>
      <c r="S51" s="1941" t="e">
        <f>+R51-#REF!</f>
        <v>#REF!</v>
      </c>
      <c r="T51" s="1941"/>
      <c r="U51" s="1941"/>
      <c r="V51" s="1941"/>
      <c r="W51" s="1941"/>
      <c r="X51" s="1941"/>
      <c r="Y51" s="1941"/>
    </row>
    <row r="52" spans="1:25" s="1940" customFormat="1" ht="5.0999999999999996" customHeight="1">
      <c r="A52" s="1975"/>
      <c r="B52" s="1952"/>
      <c r="C52" s="1952"/>
      <c r="D52" s="1976"/>
      <c r="E52" s="2361"/>
      <c r="F52" s="1976"/>
      <c r="G52" s="1976"/>
      <c r="H52" s="1976"/>
      <c r="Q52" s="1941"/>
      <c r="R52" s="1941"/>
      <c r="S52" s="1941"/>
      <c r="T52" s="1941"/>
      <c r="U52" s="1941"/>
      <c r="V52" s="1941"/>
      <c r="W52" s="1941"/>
      <c r="X52" s="1941"/>
      <c r="Y52" s="1941"/>
    </row>
    <row r="53" spans="1:25" s="1940" customFormat="1" ht="11.25">
      <c r="A53" s="1975"/>
      <c r="B53" s="1952"/>
      <c r="C53" s="1952"/>
      <c r="D53" s="1976"/>
      <c r="E53" s="2361"/>
      <c r="F53" s="1976"/>
      <c r="G53" s="1976"/>
      <c r="H53" s="1976"/>
      <c r="Q53" s="1941"/>
      <c r="R53" s="1941"/>
      <c r="S53" s="1941"/>
      <c r="T53" s="1941"/>
      <c r="U53" s="1941"/>
      <c r="V53" s="1941"/>
      <c r="W53" s="1941"/>
      <c r="X53" s="1941"/>
      <c r="Y53" s="1941"/>
    </row>
    <row r="54" spans="1:25" s="1940" customFormat="1" ht="11.25">
      <c r="A54" s="1993" t="s">
        <v>2480</v>
      </c>
      <c r="B54" s="1952"/>
      <c r="C54" s="1952"/>
      <c r="D54" s="1976">
        <f>'1-4.1'!A434</f>
        <v>9.1</v>
      </c>
      <c r="E54" s="2361">
        <v>9434</v>
      </c>
      <c r="F54" s="1976"/>
      <c r="G54" s="1977">
        <v>-268</v>
      </c>
      <c r="H54" s="1976"/>
      <c r="Q54" s="1941"/>
      <c r="R54" s="1941"/>
      <c r="S54" s="1941"/>
      <c r="T54" s="1941"/>
      <c r="U54" s="1941"/>
      <c r="V54" s="1941"/>
      <c r="W54" s="1941"/>
      <c r="X54" s="1941"/>
      <c r="Y54" s="1941"/>
    </row>
    <row r="55" spans="1:25" s="1940" customFormat="1" ht="11.25">
      <c r="D55" s="1954"/>
      <c r="E55" s="2361"/>
      <c r="F55" s="1957"/>
      <c r="G55" s="1977"/>
      <c r="H55" s="1957"/>
      <c r="J55" s="1965"/>
      <c r="K55" s="1940">
        <f>-5713288/1000</f>
        <v>-5713.2879999999996</v>
      </c>
      <c r="L55" s="1941">
        <f>E45-K55</f>
        <v>10747.288</v>
      </c>
      <c r="Q55" s="1941"/>
      <c r="R55" s="1941"/>
      <c r="S55" s="1941"/>
      <c r="T55" s="1941"/>
      <c r="U55" s="1941"/>
      <c r="V55" s="1941"/>
      <c r="W55" s="1941"/>
      <c r="X55" s="1941"/>
      <c r="Y55" s="1941"/>
    </row>
    <row r="56" spans="1:25" s="1940" customFormat="1" ht="5.0999999999999996" customHeight="1">
      <c r="A56" s="1974"/>
      <c r="D56" s="1948"/>
      <c r="E56" s="2361"/>
      <c r="F56" s="1948"/>
      <c r="G56" s="1948"/>
      <c r="H56" s="1948"/>
      <c r="Q56" s="1941"/>
      <c r="R56" s="1941"/>
      <c r="S56" s="1941"/>
      <c r="T56" s="1941"/>
      <c r="U56" s="1941"/>
      <c r="V56" s="1941"/>
      <c r="W56" s="1941"/>
      <c r="X56" s="1941"/>
      <c r="Y56" s="1941"/>
    </row>
    <row r="57" spans="1:25" s="1940" customFormat="1" ht="11.25">
      <c r="A57" s="1974" t="s">
        <v>2096</v>
      </c>
      <c r="D57" s="1948"/>
      <c r="E57" s="2486">
        <v>23459.133000000038</v>
      </c>
      <c r="F57" s="1948"/>
      <c r="G57" s="2487">
        <v>13142</v>
      </c>
      <c r="H57" s="1948"/>
      <c r="J57" s="1978">
        <v>31743</v>
      </c>
      <c r="Q57" s="1941"/>
      <c r="R57" s="1941"/>
      <c r="S57" s="1941"/>
      <c r="T57" s="1941"/>
      <c r="U57" s="1941"/>
      <c r="V57" s="1941"/>
      <c r="W57" s="1941"/>
      <c r="X57" s="1941"/>
      <c r="Y57" s="1941"/>
    </row>
    <row r="58" spans="1:25" s="1940" customFormat="1" ht="5.0999999999999996" customHeight="1">
      <c r="A58" s="1974"/>
      <c r="D58" s="1948"/>
      <c r="E58" s="2360"/>
      <c r="F58" s="1948"/>
      <c r="G58" s="1948"/>
      <c r="H58" s="1948"/>
      <c r="Q58" s="1941"/>
      <c r="R58" s="1941"/>
      <c r="S58" s="1941"/>
      <c r="T58" s="1941"/>
      <c r="U58" s="1941"/>
      <c r="V58" s="1941"/>
      <c r="W58" s="1941"/>
      <c r="X58" s="1941"/>
      <c r="Y58" s="1941"/>
    </row>
    <row r="59" spans="1:25" s="1940" customFormat="1" ht="11.25">
      <c r="A59" s="1979" t="s">
        <v>737</v>
      </c>
      <c r="D59" s="1964">
        <f>'1-4.1'!A477</f>
        <v>11</v>
      </c>
      <c r="E59" s="2362">
        <v>0</v>
      </c>
      <c r="F59" s="1964"/>
      <c r="G59" s="1950">
        <v>0</v>
      </c>
      <c r="H59" s="1964"/>
      <c r="J59" s="1950">
        <v>0</v>
      </c>
      <c r="Q59" s="1941"/>
      <c r="R59" s="1941"/>
      <c r="S59" s="1941"/>
      <c r="T59" s="1941"/>
      <c r="U59" s="1941"/>
      <c r="V59" s="1941"/>
      <c r="W59" s="1941"/>
      <c r="X59" s="1941"/>
      <c r="Y59" s="1941"/>
    </row>
    <row r="60" spans="1:25" s="1940" customFormat="1" ht="5.0999999999999996" customHeight="1">
      <c r="A60" s="1945"/>
      <c r="D60" s="1948"/>
      <c r="E60" s="2360"/>
      <c r="F60" s="1948"/>
      <c r="G60" s="1948"/>
      <c r="H60" s="1948"/>
      <c r="Q60" s="1941"/>
      <c r="R60" s="1941"/>
      <c r="S60" s="1941"/>
      <c r="T60" s="1941"/>
      <c r="U60" s="1941"/>
      <c r="V60" s="1941"/>
      <c r="W60" s="1941"/>
      <c r="X60" s="1941"/>
      <c r="Y60" s="1941"/>
    </row>
    <row r="61" spans="1:25" s="1970" customFormat="1" thickBot="1">
      <c r="A61" s="1980" t="s">
        <v>1959</v>
      </c>
      <c r="D61" s="1981"/>
      <c r="E61" s="2488">
        <v>23459.133000000038</v>
      </c>
      <c r="F61" s="1981"/>
      <c r="G61" s="1982">
        <v>13142</v>
      </c>
      <c r="H61" s="1981"/>
      <c r="J61" s="1982">
        <v>31743</v>
      </c>
      <c r="K61" s="1970" t="s">
        <v>739</v>
      </c>
      <c r="L61" s="1970">
        <v>0</v>
      </c>
      <c r="Q61" s="1973" t="e">
        <f>+#REF!-#REF!-#REF!</f>
        <v>#REF!</v>
      </c>
      <c r="R61" s="1983" t="e">
        <f>+Q61*0.9</f>
        <v>#REF!</v>
      </c>
      <c r="S61" s="1973"/>
      <c r="T61" s="1973"/>
      <c r="U61" s="1973"/>
      <c r="V61" s="1973"/>
      <c r="W61" s="1973"/>
      <c r="X61" s="1973"/>
      <c r="Y61" s="1973"/>
    </row>
    <row r="62" spans="1:25" s="1940" customFormat="1" ht="12.75" hidden="1" customHeight="1" thickTop="1">
      <c r="A62" s="1974"/>
      <c r="D62" s="1948"/>
      <c r="E62" s="2452"/>
      <c r="F62" s="1948"/>
      <c r="G62" s="1948"/>
      <c r="H62" s="1948"/>
      <c r="Q62" s="1941"/>
      <c r="R62" s="1941"/>
      <c r="S62" s="1941"/>
      <c r="T62" s="1941"/>
      <c r="U62" s="1941"/>
      <c r="V62" s="1941"/>
      <c r="W62" s="1941"/>
      <c r="X62" s="1941"/>
      <c r="Y62" s="1941"/>
    </row>
    <row r="63" spans="1:25" s="1940" customFormat="1" ht="12.75" hidden="1" customHeight="1" thickTop="1">
      <c r="A63" s="1984" t="s">
        <v>740</v>
      </c>
      <c r="D63" s="1948"/>
      <c r="E63" s="2452"/>
      <c r="F63" s="1948"/>
      <c r="G63" s="1948"/>
      <c r="H63" s="1948"/>
      <c r="Q63" s="1941"/>
      <c r="R63" s="1941"/>
      <c r="S63" s="1941"/>
      <c r="T63" s="1941"/>
      <c r="U63" s="1941"/>
      <c r="V63" s="1941"/>
      <c r="W63" s="1941"/>
      <c r="X63" s="1941"/>
      <c r="Y63" s="1941"/>
    </row>
    <row r="64" spans="1:25" s="1940" customFormat="1" ht="8.1" hidden="1" customHeight="1">
      <c r="A64" s="1984"/>
      <c r="D64" s="1948"/>
      <c r="E64" s="2452"/>
      <c r="F64" s="1948"/>
      <c r="G64" s="1948"/>
      <c r="H64" s="1948"/>
      <c r="Q64" s="1941"/>
      <c r="R64" s="1941"/>
      <c r="S64" s="1941"/>
      <c r="T64" s="1941"/>
      <c r="U64" s="1941"/>
      <c r="V64" s="1941"/>
      <c r="W64" s="1941"/>
      <c r="X64" s="1941"/>
      <c r="Y64" s="1941"/>
    </row>
    <row r="65" spans="1:25" s="1940" customFormat="1" ht="12.75" hidden="1" customHeight="1" thickTop="1">
      <c r="A65" s="1985" t="s">
        <v>741</v>
      </c>
      <c r="D65" s="1948"/>
      <c r="E65" s="2452"/>
      <c r="F65" s="1948"/>
      <c r="G65" s="1948"/>
      <c r="H65" s="1948"/>
      <c r="Q65" s="1941"/>
      <c r="R65" s="1941"/>
      <c r="S65" s="1941"/>
      <c r="T65" s="1941"/>
      <c r="U65" s="1941"/>
      <c r="V65" s="1941"/>
      <c r="W65" s="1941"/>
      <c r="X65" s="1941"/>
      <c r="Y65" s="1941"/>
    </row>
    <row r="66" spans="1:25" s="1940" customFormat="1" ht="12.75" hidden="1" customHeight="1" thickTop="1">
      <c r="A66" s="1984"/>
      <c r="D66" s="1948"/>
      <c r="E66" s="2452"/>
      <c r="F66" s="1948"/>
      <c r="G66" s="1948"/>
      <c r="H66" s="1948"/>
      <c r="Q66" s="1941"/>
      <c r="R66" s="1941"/>
      <c r="S66" s="1941"/>
      <c r="T66" s="1941"/>
      <c r="U66" s="1941"/>
      <c r="V66" s="1941"/>
      <c r="W66" s="1941"/>
      <c r="X66" s="1941"/>
      <c r="Y66" s="1941"/>
    </row>
    <row r="67" spans="1:25" s="1940" customFormat="1" ht="12.75" hidden="1" customHeight="1" thickTop="1">
      <c r="A67" s="1953" t="s">
        <v>1450</v>
      </c>
      <c r="D67" s="1954"/>
      <c r="E67" s="2363"/>
      <c r="F67" s="1954"/>
      <c r="G67" s="1954"/>
      <c r="H67" s="1954"/>
      <c r="I67" s="1948"/>
      <c r="Q67" s="1941"/>
      <c r="R67" s="1941"/>
      <c r="S67" s="1941"/>
      <c r="T67" s="1941"/>
      <c r="U67" s="1941"/>
      <c r="V67" s="1941"/>
      <c r="W67" s="1941"/>
      <c r="X67" s="1941"/>
      <c r="Y67" s="1941"/>
    </row>
    <row r="68" spans="1:25" s="1940" customFormat="1" ht="12.75" hidden="1" customHeight="1" thickTop="1">
      <c r="A68" s="1986" t="s">
        <v>742</v>
      </c>
      <c r="E68" s="1945"/>
      <c r="I68" s="1948"/>
      <c r="Q68" s="1941"/>
      <c r="R68" s="1941"/>
      <c r="S68" s="1941"/>
      <c r="T68" s="1941"/>
      <c r="U68" s="1941"/>
      <c r="V68" s="1941"/>
      <c r="W68" s="1941"/>
      <c r="X68" s="1941"/>
      <c r="Y68" s="1941"/>
    </row>
    <row r="69" spans="1:25" s="1940" customFormat="1" ht="12.75" hidden="1" customHeight="1" thickTop="1">
      <c r="A69" s="1986"/>
      <c r="E69" s="1945"/>
      <c r="I69" s="1948"/>
      <c r="Q69" s="1941"/>
      <c r="R69" s="1941"/>
      <c r="S69" s="1941"/>
      <c r="T69" s="1941"/>
      <c r="U69" s="1941"/>
      <c r="V69" s="1941"/>
      <c r="W69" s="1941"/>
      <c r="X69" s="1941"/>
      <c r="Y69" s="1941"/>
    </row>
    <row r="70" spans="1:25" s="1940" customFormat="1" ht="16.7" hidden="1" customHeight="1" thickBot="1">
      <c r="A70" s="1945" t="s">
        <v>743</v>
      </c>
      <c r="E70" s="1945"/>
      <c r="I70" s="1948"/>
      <c r="Q70" s="1941"/>
      <c r="R70" s="1941"/>
      <c r="S70" s="1941"/>
      <c r="T70" s="1941"/>
      <c r="U70" s="1941"/>
      <c r="V70" s="1941"/>
      <c r="W70" s="1941"/>
      <c r="X70" s="1941"/>
      <c r="Y70" s="1941"/>
    </row>
    <row r="71" spans="1:25" s="1940" customFormat="1" ht="12.75" hidden="1" customHeight="1" thickTop="1">
      <c r="D71" s="1948"/>
      <c r="E71" s="2452"/>
      <c r="F71" s="1948"/>
      <c r="G71" s="1948"/>
      <c r="H71" s="1948"/>
      <c r="Q71" s="1941"/>
      <c r="R71" s="1941"/>
      <c r="S71" s="1941"/>
      <c r="T71" s="1941"/>
      <c r="U71" s="1941"/>
      <c r="V71" s="1941"/>
      <c r="W71" s="1941"/>
      <c r="X71" s="1941"/>
      <c r="Y71" s="1941"/>
    </row>
    <row r="72" spans="1:25" s="1940" customFormat="1" thickTop="1">
      <c r="D72" s="1948"/>
      <c r="E72" s="2452"/>
      <c r="F72" s="1948"/>
      <c r="G72" s="1948"/>
      <c r="H72" s="1948"/>
      <c r="K72" s="2380">
        <v>0</v>
      </c>
      <c r="L72" s="2380">
        <v>724908</v>
      </c>
      <c r="M72" s="2380"/>
      <c r="Q72" s="1941"/>
      <c r="R72" s="1941"/>
      <c r="S72" s="1941"/>
      <c r="T72" s="1941"/>
      <c r="U72" s="1941"/>
      <c r="V72" s="1941"/>
      <c r="W72" s="1941"/>
      <c r="X72" s="1941"/>
      <c r="Y72" s="1941"/>
    </row>
    <row r="73" spans="1:25" s="1940" customFormat="1" ht="11.25">
      <c r="A73" s="1987" t="s">
        <v>1970</v>
      </c>
      <c r="D73" s="1948"/>
      <c r="E73" s="2452"/>
      <c r="F73" s="1948"/>
      <c r="G73" s="1948"/>
      <c r="H73" s="1948"/>
      <c r="Q73" s="1941"/>
      <c r="R73" s="1941"/>
      <c r="S73" s="1941"/>
      <c r="T73" s="1941"/>
      <c r="U73" s="1941"/>
      <c r="V73" s="1941"/>
      <c r="W73" s="1941"/>
      <c r="X73" s="1941"/>
      <c r="Y73" s="1941"/>
    </row>
    <row r="74" spans="1:25" s="1940" customFormat="1" ht="11.25">
      <c r="A74" s="1988" t="s">
        <v>1952</v>
      </c>
      <c r="D74" s="1948"/>
      <c r="E74" s="2489">
        <v>23459.133000000038</v>
      </c>
      <c r="F74" s="1948"/>
      <c r="G74" s="2490">
        <v>13141.637484417481</v>
      </c>
      <c r="H74" s="1948"/>
      <c r="J74" s="1965">
        <v>31743</v>
      </c>
      <c r="Q74" s="1941"/>
      <c r="R74" s="1941"/>
      <c r="S74" s="1941"/>
      <c r="T74" s="1941"/>
      <c r="U74" s="1941"/>
      <c r="V74" s="1941"/>
      <c r="W74" s="1941"/>
      <c r="X74" s="1941"/>
      <c r="Y74" s="1941"/>
    </row>
    <row r="75" spans="1:25" s="1940" customFormat="1" ht="11.25">
      <c r="A75" s="1988" t="s">
        <v>1591</v>
      </c>
      <c r="D75" s="1948"/>
      <c r="E75" s="2489">
        <v>-1059.278</v>
      </c>
      <c r="F75" s="1948"/>
      <c r="G75" s="2490">
        <v>-504.01600000000002</v>
      </c>
      <c r="H75" s="1948"/>
      <c r="J75" s="1965">
        <v>-5009</v>
      </c>
      <c r="L75" s="1940" t="s">
        <v>2407</v>
      </c>
      <c r="M75" s="1940" t="s">
        <v>805</v>
      </c>
      <c r="Q75" s="1941"/>
      <c r="R75" s="1941"/>
      <c r="S75" s="1941"/>
      <c r="T75" s="1941"/>
      <c r="U75" s="1941"/>
      <c r="V75" s="1941"/>
      <c r="W75" s="1941"/>
      <c r="X75" s="1941"/>
      <c r="Y75" s="1941"/>
    </row>
    <row r="76" spans="1:25" s="1940" customFormat="1" thickBot="1">
      <c r="A76" s="1987"/>
      <c r="D76" s="1948"/>
      <c r="E76" s="1989">
        <v>22399.85500000004</v>
      </c>
      <c r="F76" s="1948"/>
      <c r="G76" s="2491">
        <v>12637.621484417481</v>
      </c>
      <c r="H76" s="1948"/>
      <c r="J76" s="1989">
        <v>26734</v>
      </c>
      <c r="L76" s="2380">
        <v>179853</v>
      </c>
      <c r="M76" s="2380">
        <v>324163</v>
      </c>
      <c r="Q76" s="1941"/>
      <c r="R76" s="1941"/>
      <c r="S76" s="1941"/>
      <c r="T76" s="1941"/>
      <c r="U76" s="1941"/>
      <c r="V76" s="1941"/>
      <c r="W76" s="1941"/>
      <c r="X76" s="1941"/>
      <c r="Y76" s="1941"/>
    </row>
    <row r="77" spans="1:25" s="1940" customFormat="1" thickTop="1">
      <c r="A77" s="1990" t="s">
        <v>1612</v>
      </c>
      <c r="D77" s="1948"/>
      <c r="E77" s="2452"/>
      <c r="F77" s="1948"/>
      <c r="G77" s="1948"/>
      <c r="H77" s="1948"/>
      <c r="L77" s="2380">
        <v>8381553</v>
      </c>
      <c r="Q77" s="1941"/>
      <c r="R77" s="1941"/>
      <c r="S77" s="1941"/>
      <c r="T77" s="1941"/>
      <c r="U77" s="1941"/>
      <c r="V77" s="1941"/>
      <c r="W77" s="1941"/>
      <c r="X77" s="1941"/>
      <c r="Y77" s="1941"/>
    </row>
    <row r="78" spans="1:25" s="1940" customFormat="1" ht="11.25">
      <c r="A78" s="1968" t="s">
        <v>2203</v>
      </c>
      <c r="D78" s="1948"/>
      <c r="E78" s="2833">
        <v>0</v>
      </c>
      <c r="F78" s="1948"/>
      <c r="G78" s="2260">
        <v>0</v>
      </c>
      <c r="H78" s="1948"/>
      <c r="J78" s="1965">
        <v>0</v>
      </c>
      <c r="Q78" s="1941">
        <v>-27394</v>
      </c>
      <c r="R78" s="1941"/>
      <c r="S78" s="1941"/>
      <c r="T78" s="1941"/>
      <c r="U78" s="1941"/>
      <c r="V78" s="1941"/>
      <c r="W78" s="1941"/>
      <c r="X78" s="1941"/>
      <c r="Y78" s="1941"/>
    </row>
    <row r="79" spans="1:25" s="1940" customFormat="1" ht="11.25">
      <c r="A79" s="1968" t="s">
        <v>2204</v>
      </c>
      <c r="D79" s="1948"/>
      <c r="E79" s="2834">
        <v>22399.85500000004</v>
      </c>
      <c r="F79" s="1948"/>
      <c r="G79" s="2492">
        <v>12637.621484417481</v>
      </c>
      <c r="H79" s="1948"/>
      <c r="J79" s="1965">
        <v>26734</v>
      </c>
      <c r="L79" s="2380">
        <v>-73739</v>
      </c>
      <c r="M79" s="2380">
        <v>1133017</v>
      </c>
      <c r="Q79" s="1941">
        <f>Q78/1000</f>
        <v>-27.393999999999998</v>
      </c>
      <c r="R79" s="1941" t="e">
        <f>#REF!*0.02</f>
        <v>#REF!</v>
      </c>
      <c r="S79" s="1941"/>
      <c r="T79" s="1941"/>
      <c r="U79" s="1941"/>
      <c r="V79" s="1941"/>
      <c r="W79" s="1941"/>
      <c r="X79" s="1941"/>
      <c r="Y79" s="1941"/>
    </row>
    <row r="80" spans="1:25" s="1940" customFormat="1" thickBot="1">
      <c r="D80" s="1948"/>
      <c r="E80" s="1989">
        <v>22399.85500000004</v>
      </c>
      <c r="F80" s="1948"/>
      <c r="G80" s="2491">
        <v>12637.621484417481</v>
      </c>
      <c r="H80" s="1948"/>
      <c r="J80" s="1991">
        <v>26734</v>
      </c>
      <c r="Q80" s="1941"/>
      <c r="R80" s="1941"/>
      <c r="S80" s="1941"/>
      <c r="T80" s="1941"/>
      <c r="U80" s="1941"/>
      <c r="V80" s="1941"/>
      <c r="W80" s="1941"/>
      <c r="X80" s="1941"/>
      <c r="Y80" s="1941"/>
    </row>
    <row r="81" spans="1:25" s="1940" customFormat="1" thickTop="1">
      <c r="D81" s="1948"/>
      <c r="E81" s="2452"/>
      <c r="F81" s="1948"/>
      <c r="G81" s="1948"/>
      <c r="H81" s="1948"/>
      <c r="Q81" s="1941"/>
      <c r="R81" s="1941"/>
      <c r="S81" s="1941"/>
      <c r="T81" s="1941"/>
      <c r="U81" s="1941"/>
      <c r="V81" s="1941"/>
      <c r="W81" s="1941"/>
      <c r="X81" s="1941"/>
      <c r="Y81" s="1941"/>
    </row>
    <row r="82" spans="1:25" s="1940" customFormat="1" ht="11.25">
      <c r="A82" s="1945" t="s">
        <v>744</v>
      </c>
      <c r="D82" s="1966">
        <f>'1-4.1'!$A$498</f>
        <v>12</v>
      </c>
      <c r="E82" s="2364"/>
      <c r="F82" s="1992"/>
      <c r="G82" s="1992"/>
      <c r="H82" s="1992"/>
      <c r="Q82" s="1941"/>
      <c r="R82" s="1941"/>
      <c r="S82" s="1941"/>
      <c r="T82" s="1941"/>
      <c r="U82" s="1941"/>
      <c r="V82" s="1941"/>
      <c r="W82" s="1941"/>
      <c r="X82" s="1941"/>
      <c r="Y82" s="1941"/>
    </row>
    <row r="83" spans="1:25">
      <c r="D83" s="1814"/>
      <c r="E83" s="2365"/>
      <c r="F83" s="1814"/>
      <c r="G83" s="1814"/>
      <c r="H83" s="1814"/>
    </row>
    <row r="84" spans="1:25">
      <c r="A84" s="1918" t="str">
        <f>BS!$A$46</f>
        <v>The annexed notes from 1 to 19 form an integral part of these condensed interim financial statements.</v>
      </c>
      <c r="D84" s="1715"/>
      <c r="E84" s="2366"/>
      <c r="F84" s="1715"/>
      <c r="G84" s="1715"/>
      <c r="H84" s="1715"/>
      <c r="L84" s="2381">
        <v>12367</v>
      </c>
      <c r="M84" s="2381">
        <v>-53946</v>
      </c>
      <c r="N84" s="2381">
        <v>5050251</v>
      </c>
    </row>
    <row r="85" spans="1:25">
      <c r="D85" s="1715"/>
      <c r="E85" s="2366"/>
      <c r="F85" s="1715"/>
      <c r="G85" s="1715"/>
      <c r="H85" s="1715"/>
      <c r="L85" s="2381">
        <v>1158</v>
      </c>
      <c r="M85" s="2381">
        <v>-89510</v>
      </c>
      <c r="N85" s="2381">
        <v>3331302</v>
      </c>
    </row>
    <row r="86" spans="1:25" s="1692" customFormat="1">
      <c r="A86" s="1922" t="str">
        <f>BS!$A$49</f>
        <v xml:space="preserve">                                                       For MCB-Arif Habib Savings and Investments Limited</v>
      </c>
      <c r="B86" s="1929"/>
      <c r="C86" s="1929"/>
      <c r="D86" s="1929"/>
      <c r="E86" s="1929"/>
      <c r="F86" s="1929"/>
      <c r="G86" s="1929"/>
      <c r="L86" s="2382">
        <v>13525</v>
      </c>
      <c r="M86" s="2382">
        <v>-143456</v>
      </c>
      <c r="N86" s="2382">
        <v>8381553</v>
      </c>
    </row>
    <row r="87" spans="1:25" s="1692" customFormat="1">
      <c r="A87" s="1675" t="str">
        <f>BS!$A$50</f>
        <v xml:space="preserve">                                                                               (Management Company)</v>
      </c>
      <c r="B87" s="1929"/>
      <c r="C87" s="1929"/>
      <c r="D87" s="1929"/>
      <c r="E87" s="1929"/>
      <c r="F87" s="1929"/>
      <c r="G87" s="1930"/>
    </row>
    <row r="88" spans="1:25" s="1692" customFormat="1">
      <c r="A88" s="1931"/>
      <c r="B88" s="1931"/>
      <c r="C88" s="1932"/>
      <c r="D88" s="1932"/>
      <c r="E88" s="2367"/>
      <c r="F88" s="1934"/>
      <c r="G88" s="1935"/>
    </row>
    <row r="89" spans="1:25" s="1692" customFormat="1">
      <c r="A89" s="1931"/>
      <c r="B89" s="1931"/>
      <c r="C89" s="1932"/>
      <c r="D89" s="1932"/>
      <c r="E89" s="2367"/>
      <c r="F89" s="1934"/>
      <c r="G89" s="1935"/>
    </row>
    <row r="90" spans="1:25" s="1692" customFormat="1">
      <c r="A90" s="1931"/>
      <c r="B90" s="1931"/>
      <c r="C90" s="1932"/>
      <c r="D90" s="1932"/>
      <c r="E90" s="2367"/>
      <c r="F90" s="1934"/>
      <c r="G90" s="1935"/>
    </row>
    <row r="91" spans="1:25" s="1692" customFormat="1">
      <c r="A91" s="1931"/>
      <c r="B91" s="1931"/>
      <c r="C91" s="1932"/>
      <c r="D91" s="1932"/>
      <c r="E91" s="2367"/>
      <c r="F91" s="1934"/>
      <c r="G91" s="1935"/>
    </row>
    <row r="92" spans="1:25" s="1692" customFormat="1">
      <c r="A92" s="1922" t="str">
        <f>BS!$A$55</f>
        <v xml:space="preserve">           _____________________                          _____________________                          _____________________</v>
      </c>
      <c r="D92" s="1932"/>
      <c r="E92" s="1937"/>
      <c r="G92" s="1935"/>
    </row>
    <row r="93" spans="1:25" s="1692" customFormat="1">
      <c r="A93" s="1675" t="str">
        <f>BS!$A$56</f>
        <v xml:space="preserve">            Chief Executive Officer                              Chief Financial Officer                                          Director</v>
      </c>
      <c r="D93" s="1932"/>
      <c r="E93" s="1937"/>
      <c r="G93" s="1935"/>
    </row>
    <row r="94" spans="1:25" s="1724" customFormat="1">
      <c r="A94" s="1721"/>
      <c r="B94" s="1722"/>
      <c r="C94" s="1722"/>
      <c r="D94" s="1723"/>
      <c r="E94" s="1723"/>
      <c r="F94" s="1723"/>
      <c r="G94" s="1723"/>
      <c r="H94" s="1723"/>
      <c r="Q94" s="1711"/>
      <c r="R94" s="1711"/>
      <c r="S94" s="1711"/>
      <c r="T94" s="1711"/>
      <c r="U94" s="1711"/>
      <c r="V94" s="1711"/>
      <c r="W94" s="1711"/>
      <c r="X94" s="1711"/>
      <c r="Y94" s="1711"/>
    </row>
    <row r="95" spans="1:25" s="1724" customFormat="1">
      <c r="E95" s="1725"/>
      <c r="Q95" s="1711"/>
      <c r="R95" s="1711"/>
      <c r="S95" s="1711"/>
      <c r="T95" s="1711"/>
      <c r="U95" s="1711"/>
      <c r="V95" s="1711"/>
      <c r="W95" s="1711"/>
      <c r="X95" s="1711"/>
      <c r="Y95" s="1711"/>
    </row>
    <row r="96" spans="1:25">
      <c r="B96" s="1724"/>
      <c r="C96" s="1724"/>
      <c r="D96" s="1724"/>
      <c r="E96" s="1725"/>
      <c r="F96" s="1724"/>
      <c r="G96" s="1724"/>
      <c r="H96" s="1724"/>
      <c r="I96" s="1724"/>
    </row>
    <row r="128" spans="11:16">
      <c r="K128" s="1814"/>
      <c r="L128" s="1814"/>
      <c r="M128" s="1814"/>
      <c r="N128" s="1814"/>
      <c r="O128" s="1814"/>
      <c r="P128" s="1814"/>
    </row>
    <row r="132" spans="11:13">
      <c r="K132" s="1813"/>
      <c r="L132" s="1814"/>
      <c r="M132" s="1814"/>
    </row>
    <row r="133" spans="11:13">
      <c r="K133" s="1813"/>
      <c r="L133" s="1814"/>
      <c r="M133" s="1814"/>
    </row>
    <row r="134" spans="11:13">
      <c r="K134" s="1726" t="s">
        <v>746</v>
      </c>
      <c r="L134" s="1726" t="s">
        <v>745</v>
      </c>
      <c r="M134" s="1726" t="s">
        <v>746</v>
      </c>
    </row>
  </sheetData>
  <mergeCells count="6">
    <mergeCell ref="V25:W25"/>
    <mergeCell ref="X25:Y25"/>
    <mergeCell ref="E5:G5"/>
    <mergeCell ref="E6:G6"/>
    <mergeCell ref="E8:H8"/>
    <mergeCell ref="Q7:S7"/>
  </mergeCells>
  <printOptions horizontalCentered="1"/>
  <pageMargins left="0.75" right="0.5" top="0.5" bottom="0.4" header="0.54" footer="0.23"/>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3:N11"/>
  <sheetViews>
    <sheetView showGridLines="0" workbookViewId="0">
      <selection activeCell="B48" sqref="B48"/>
    </sheetView>
  </sheetViews>
  <sheetFormatPr defaultColWidth="6.5" defaultRowHeight="12"/>
  <cols>
    <col min="1" max="1" width="5.125" style="1918" customWidth="1"/>
    <col min="2" max="2" width="17.75" style="1918" customWidth="1"/>
    <col min="3" max="3" width="6.375" style="1918" customWidth="1"/>
    <col min="4" max="5" width="8.75" style="1918" customWidth="1"/>
    <col min="6" max="6" width="7.75" style="1918" customWidth="1"/>
    <col min="7" max="10" width="7.375" style="1918" customWidth="1"/>
    <col min="11" max="11" width="8.5" style="1918" customWidth="1"/>
    <col min="12" max="12" width="9.25" style="1918" customWidth="1"/>
    <col min="13" max="13" width="8.5" style="1918" customWidth="1"/>
    <col min="14" max="14" width="10.75" style="1918" customWidth="1"/>
    <col min="15" max="15" width="6.5" style="1918"/>
    <col min="16" max="16" width="17.5" style="1918" customWidth="1"/>
    <col min="17" max="16384" width="6.5" style="1918"/>
  </cols>
  <sheetData>
    <row r="3" spans="1:14" s="1727" customFormat="1">
      <c r="A3" s="2356" t="s">
        <v>2160</v>
      </c>
      <c r="B3" s="2279" t="s">
        <v>1998</v>
      </c>
      <c r="C3" s="1600"/>
      <c r="D3" s="1600"/>
      <c r="E3" s="1600"/>
      <c r="F3" s="1819"/>
      <c r="G3" s="1819"/>
      <c r="H3" s="1589"/>
      <c r="I3" s="1589"/>
      <c r="J3" s="1781"/>
    </row>
    <row r="4" spans="1:14" s="1727" customFormat="1">
      <c r="A4" s="1592"/>
      <c r="B4" s="1590"/>
      <c r="C4" s="1600"/>
      <c r="D4" s="1600"/>
      <c r="E4" s="1600"/>
      <c r="F4" s="1819"/>
      <c r="G4" s="1819"/>
      <c r="H4" s="1589"/>
      <c r="I4" s="1589"/>
      <c r="J4" s="1781"/>
    </row>
    <row r="5" spans="1:14" s="2075" customFormat="1" ht="63">
      <c r="A5" s="2068"/>
      <c r="B5" s="2250" t="s">
        <v>1844</v>
      </c>
      <c r="C5" s="2240" t="s">
        <v>1444</v>
      </c>
      <c r="D5" s="2240" t="s">
        <v>849</v>
      </c>
      <c r="E5" s="2240" t="s">
        <v>1445</v>
      </c>
      <c r="F5" s="2240" t="s">
        <v>2162</v>
      </c>
      <c r="G5" s="2240" t="s">
        <v>1948</v>
      </c>
      <c r="H5" s="2240" t="s">
        <v>2219</v>
      </c>
      <c r="I5" s="2240" t="s">
        <v>1489</v>
      </c>
      <c r="J5" s="2240" t="s">
        <v>2118</v>
      </c>
      <c r="K5" s="2127"/>
      <c r="L5" s="2096"/>
      <c r="M5" s="2127"/>
      <c r="N5" s="2203"/>
    </row>
    <row r="6" spans="1:14" s="2028" customFormat="1" ht="11.25">
      <c r="A6" s="2113"/>
      <c r="B6" s="2242"/>
      <c r="C6" s="2243"/>
      <c r="D6" s="2243"/>
      <c r="E6" s="2243"/>
      <c r="F6" s="2244"/>
      <c r="G6" s="2244"/>
      <c r="H6" s="2245" t="s">
        <v>876</v>
      </c>
      <c r="I6" s="2245"/>
      <c r="J6" s="2246"/>
      <c r="K6" s="1972"/>
      <c r="L6" s="2124"/>
      <c r="M6" s="2124"/>
      <c r="N6" s="2118"/>
    </row>
    <row r="7" spans="1:14" s="2028" customFormat="1" ht="11.25">
      <c r="A7" s="2113"/>
      <c r="B7" s="2071"/>
      <c r="C7" s="2108"/>
      <c r="D7" s="2108"/>
      <c r="E7" s="2108"/>
      <c r="H7" s="2123"/>
      <c r="I7" s="2123"/>
      <c r="J7" s="1972"/>
      <c r="K7" s="1972"/>
      <c r="L7" s="2124"/>
      <c r="M7" s="2124"/>
      <c r="N7" s="2118"/>
    </row>
    <row r="8" spans="1:14" s="2028" customFormat="1" ht="22.5">
      <c r="A8" s="2113"/>
      <c r="B8" s="2184" t="s">
        <v>1447</v>
      </c>
      <c r="C8" s="2185">
        <v>7.7200000000000005E-2</v>
      </c>
      <c r="D8" s="2183" t="s">
        <v>2156</v>
      </c>
      <c r="E8" s="2182" t="s">
        <v>2157</v>
      </c>
      <c r="F8" s="2189">
        <v>118295</v>
      </c>
      <c r="G8" s="2189">
        <f>-F8</f>
        <v>-118295</v>
      </c>
      <c r="H8" s="2186">
        <f>SUM(F8:G8)</f>
        <v>0</v>
      </c>
      <c r="I8" s="2187">
        <v>0</v>
      </c>
      <c r="J8" s="2254">
        <v>0</v>
      </c>
      <c r="K8" s="2125"/>
      <c r="L8" s="2126"/>
      <c r="M8" s="2126"/>
      <c r="N8" s="2120"/>
    </row>
    <row r="9" spans="1:14" s="2028" customFormat="1" thickBot="1">
      <c r="A9" s="2113"/>
      <c r="B9" s="2042" t="s">
        <v>2218</v>
      </c>
      <c r="C9" s="2042"/>
      <c r="D9" s="2181"/>
      <c r="F9" s="2115"/>
      <c r="G9" s="2115"/>
      <c r="H9" s="2117">
        <f>SUM(H8:H8)</f>
        <v>0</v>
      </c>
      <c r="I9" s="2117">
        <v>0</v>
      </c>
      <c r="J9" s="1972"/>
      <c r="K9" s="1972"/>
      <c r="L9" s="2124"/>
      <c r="M9" s="2124"/>
      <c r="N9" s="2118"/>
    </row>
    <row r="10" spans="1:14" s="2028" customFormat="1" ht="12.75" thickTop="1" thickBot="1">
      <c r="A10" s="2113"/>
      <c r="B10" s="2042" t="s">
        <v>1537</v>
      </c>
      <c r="C10" s="2042"/>
      <c r="D10" s="2181"/>
      <c r="F10" s="2115"/>
      <c r="G10" s="2115"/>
      <c r="H10" s="2117">
        <v>0</v>
      </c>
      <c r="I10" s="2117">
        <v>0</v>
      </c>
      <c r="J10" s="1972"/>
      <c r="K10" s="1972"/>
      <c r="L10" s="2124"/>
      <c r="M10" s="2124"/>
      <c r="N10" s="2118"/>
    </row>
    <row r="11" spans="1:14" ht="12.75" thickTop="1"/>
  </sheetData>
  <printOptions horizontalCentered="1"/>
  <pageMargins left="0.75" right="0.5" top="0.5" bottom="0.4" header="0.54" footer="0.2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40"/>
  <sheetViews>
    <sheetView showGridLines="0" topLeftCell="A34" zoomScaleNormal="100" zoomScaleSheetLayoutView="100" workbookViewId="0">
      <selection activeCell="B48" sqref="B48"/>
    </sheetView>
  </sheetViews>
  <sheetFormatPr defaultColWidth="6.5" defaultRowHeight="12"/>
  <cols>
    <col min="1" max="1" width="5.125" style="1918" customWidth="1"/>
    <col min="2" max="2" width="22.375" style="1918" customWidth="1"/>
    <col min="3" max="3" width="6.125" style="1918" customWidth="1"/>
    <col min="4" max="4" width="8.375" style="1918" customWidth="1"/>
    <col min="5" max="6" width="6.125" style="1918" customWidth="1"/>
    <col min="7" max="7" width="6.875" style="1918" customWidth="1"/>
    <col min="8" max="8" width="6.125" style="1918" customWidth="1"/>
    <col min="9" max="11" width="6.875" style="1918" customWidth="1"/>
    <col min="12" max="13" width="8.5" style="1918" customWidth="1"/>
    <col min="14" max="14" width="9.25" style="1918" customWidth="1"/>
    <col min="15" max="15" width="8.5" style="1918" customWidth="1"/>
    <col min="16" max="16" width="10.75" style="1918" customWidth="1"/>
    <col min="17" max="17" width="6.5" style="1918"/>
    <col min="18" max="18" width="17.5" style="1918" customWidth="1"/>
    <col min="19" max="16384" width="6.5" style="1918"/>
  </cols>
  <sheetData>
    <row r="1" spans="1:12" s="1727" customFormat="1" ht="6" customHeight="1">
      <c r="A1" s="1592"/>
      <c r="B1" s="1590"/>
      <c r="C1" s="1586"/>
      <c r="D1" s="1586"/>
      <c r="E1" s="1600"/>
      <c r="F1" s="1600"/>
      <c r="G1" s="1600"/>
      <c r="H1" s="1819"/>
      <c r="I1" s="1819"/>
      <c r="J1" s="1589"/>
      <c r="K1" s="1589"/>
      <c r="L1" s="1781"/>
    </row>
    <row r="2" spans="1:12" s="1727" customFormat="1">
      <c r="A2" s="1685"/>
    </row>
    <row r="3" spans="1:12" s="1727" customFormat="1">
      <c r="A3" s="1914">
        <v>5.5</v>
      </c>
      <c r="B3" s="2279" t="s">
        <v>1998</v>
      </c>
      <c r="C3" s="2279"/>
      <c r="D3" s="1586"/>
      <c r="E3" s="1600"/>
      <c r="F3" s="1600"/>
      <c r="G3" s="1600"/>
      <c r="H3" s="1819"/>
      <c r="I3" s="1819"/>
      <c r="J3" s="1589"/>
      <c r="K3" s="1589"/>
      <c r="L3" s="1781"/>
    </row>
    <row r="4" spans="1:12" s="1727" customFormat="1">
      <c r="A4" s="1592"/>
      <c r="B4" s="1590"/>
      <c r="C4" s="1586"/>
      <c r="D4" s="1586"/>
      <c r="E4" s="1600"/>
      <c r="F4" s="1600"/>
      <c r="G4" s="1600"/>
      <c r="H4" s="1819"/>
      <c r="I4" s="1819"/>
      <c r="J4" s="1589"/>
      <c r="K4" s="1589"/>
      <c r="L4" s="1781"/>
    </row>
    <row r="5" spans="1:12" s="2075" customFormat="1" ht="11.25">
      <c r="A5" s="2068"/>
      <c r="B5" s="3047" t="s">
        <v>1881</v>
      </c>
      <c r="C5" s="3058" t="s">
        <v>850</v>
      </c>
      <c r="D5" s="3058"/>
      <c r="E5" s="3058"/>
      <c r="F5" s="3058"/>
      <c r="G5" s="3058" t="s">
        <v>2217</v>
      </c>
      <c r="H5" s="3058"/>
      <c r="I5" s="3058"/>
      <c r="J5" s="3047" t="s">
        <v>851</v>
      </c>
      <c r="K5" s="3049" t="s">
        <v>2119</v>
      </c>
    </row>
    <row r="6" spans="1:12" s="2075" customFormat="1" ht="66" customHeight="1">
      <c r="A6" s="2068"/>
      <c r="B6" s="3048"/>
      <c r="C6" s="2295" t="s">
        <v>1993</v>
      </c>
      <c r="D6" s="2295" t="s">
        <v>2182</v>
      </c>
      <c r="E6" s="2295" t="s">
        <v>1946</v>
      </c>
      <c r="F6" s="2295" t="s">
        <v>2217</v>
      </c>
      <c r="G6" s="2295" t="s">
        <v>853</v>
      </c>
      <c r="H6" s="2295" t="s">
        <v>854</v>
      </c>
      <c r="I6" s="2295" t="s">
        <v>2115</v>
      </c>
      <c r="J6" s="3048"/>
      <c r="K6" s="3049"/>
    </row>
    <row r="7" spans="1:12" s="2028" customFormat="1" ht="11.25">
      <c r="A7" s="2113"/>
      <c r="B7" s="2251"/>
      <c r="C7" s="3134" t="s">
        <v>2199</v>
      </c>
      <c r="D7" s="3135"/>
      <c r="E7" s="3135"/>
      <c r="F7" s="3135"/>
      <c r="G7" s="3134" t="s">
        <v>2200</v>
      </c>
      <c r="H7" s="3135"/>
      <c r="I7" s="3135"/>
      <c r="J7" s="2300"/>
      <c r="K7" s="2252"/>
      <c r="L7" s="2118"/>
    </row>
    <row r="8" spans="1:12" s="2028" customFormat="1" ht="6" customHeight="1">
      <c r="A8" s="2113"/>
      <c r="B8" s="2049"/>
      <c r="C8" s="2108"/>
      <c r="D8" s="2108"/>
      <c r="E8" s="2119"/>
      <c r="F8" s="2119"/>
      <c r="G8" s="2119"/>
      <c r="H8" s="2058"/>
      <c r="I8" s="2058"/>
      <c r="J8" s="2110"/>
      <c r="K8" s="2110"/>
      <c r="L8" s="2118"/>
    </row>
    <row r="9" spans="1:12" s="2028" customFormat="1" ht="11.25">
      <c r="A9" s="2113"/>
      <c r="B9" s="1993" t="s">
        <v>1995</v>
      </c>
      <c r="C9" s="2058">
        <v>800</v>
      </c>
      <c r="D9" s="2058">
        <v>-800</v>
      </c>
      <c r="E9" s="2119">
        <v>0</v>
      </c>
      <c r="F9" s="2119">
        <f>C9+D9-E9</f>
        <v>0</v>
      </c>
      <c r="G9" s="2119">
        <v>0</v>
      </c>
      <c r="H9" s="2058">
        <v>0</v>
      </c>
      <c r="I9" s="2058">
        <v>0</v>
      </c>
      <c r="J9" s="2204" t="s">
        <v>843</v>
      </c>
      <c r="K9" s="2204" t="s">
        <v>843</v>
      </c>
      <c r="L9" s="2118"/>
    </row>
    <row r="10" spans="1:12" s="2028" customFormat="1" ht="6" customHeight="1">
      <c r="A10" s="2113"/>
      <c r="B10" s="2049"/>
      <c r="C10" s="2108"/>
      <c r="D10" s="2108"/>
      <c r="E10" s="2119"/>
      <c r="F10" s="2119"/>
      <c r="G10" s="2119"/>
      <c r="H10" s="2058"/>
      <c r="I10" s="2058"/>
      <c r="J10" s="2110"/>
      <c r="K10" s="2110"/>
      <c r="L10" s="2118"/>
    </row>
    <row r="11" spans="1:12" s="2028" customFormat="1" thickBot="1">
      <c r="A11" s="2113"/>
      <c r="B11" s="2042" t="s">
        <v>2218</v>
      </c>
      <c r="C11" s="2108"/>
      <c r="D11" s="2108"/>
      <c r="E11" s="2119"/>
      <c r="F11" s="2119"/>
      <c r="G11" s="2128">
        <f>SUM(G6:G10)</f>
        <v>0</v>
      </c>
      <c r="H11" s="2128">
        <f>SUM(H6:H10)</f>
        <v>0</v>
      </c>
      <c r="I11" s="2128">
        <f>SUM(I6:I10)</f>
        <v>0</v>
      </c>
      <c r="J11" s="2110"/>
      <c r="K11" s="2110"/>
      <c r="L11" s="2118"/>
    </row>
    <row r="12" spans="1:12" s="2028" customFormat="1" ht="6" customHeight="1" thickTop="1">
      <c r="A12" s="2113"/>
      <c r="B12" s="2049"/>
      <c r="C12" s="2108"/>
      <c r="D12" s="2108"/>
      <c r="E12" s="2119"/>
      <c r="F12" s="2119"/>
      <c r="G12" s="2119"/>
      <c r="H12" s="2058"/>
      <c r="I12" s="2058"/>
      <c r="J12" s="2110"/>
      <c r="K12" s="2110"/>
      <c r="L12" s="2118"/>
    </row>
    <row r="13" spans="1:12" s="2028" customFormat="1" thickBot="1">
      <c r="A13" s="2113"/>
      <c r="B13" s="2049" t="s">
        <v>1537</v>
      </c>
      <c r="C13" s="2108"/>
      <c r="D13" s="2108"/>
      <c r="E13" s="2119"/>
      <c r="F13" s="2119"/>
      <c r="G13" s="2144">
        <v>851</v>
      </c>
      <c r="H13" s="2144">
        <v>811</v>
      </c>
      <c r="I13" s="2144">
        <v>-40</v>
      </c>
      <c r="J13" s="2110"/>
      <c r="K13" s="2110"/>
      <c r="L13" s="2118"/>
    </row>
    <row r="14" spans="1:12" s="1727" customFormat="1" ht="6" customHeight="1" thickTop="1">
      <c r="A14" s="1592"/>
      <c r="B14" s="1590"/>
      <c r="C14" s="1586"/>
      <c r="D14" s="1586"/>
      <c r="E14" s="1600"/>
      <c r="F14" s="1600"/>
      <c r="G14" s="1600"/>
      <c r="H14" s="1819"/>
      <c r="I14" s="1819"/>
      <c r="J14" s="1589"/>
      <c r="K14" s="1589"/>
      <c r="L14" s="1781"/>
    </row>
    <row r="18" spans="1:12">
      <c r="B18" s="3047" t="s">
        <v>1881</v>
      </c>
      <c r="C18" s="3058" t="s">
        <v>850</v>
      </c>
      <c r="D18" s="3058"/>
      <c r="E18" s="3058"/>
      <c r="F18" s="3058"/>
      <c r="G18" s="3058" t="s">
        <v>2217</v>
      </c>
      <c r="H18" s="3058"/>
      <c r="I18" s="3058"/>
      <c r="J18" s="3047" t="s">
        <v>851</v>
      </c>
      <c r="K18" s="3049" t="s">
        <v>2119</v>
      </c>
    </row>
    <row r="19" spans="1:12" ht="66" customHeight="1">
      <c r="B19" s="3048"/>
      <c r="C19" s="2295" t="s">
        <v>1993</v>
      </c>
      <c r="D19" s="2295" t="s">
        <v>2183</v>
      </c>
      <c r="E19" s="2295" t="s">
        <v>1946</v>
      </c>
      <c r="F19" s="2295" t="str">
        <f>F6</f>
        <v>At March 31, 2019</v>
      </c>
      <c r="G19" s="2295" t="s">
        <v>853</v>
      </c>
      <c r="H19" s="2295" t="s">
        <v>854</v>
      </c>
      <c r="I19" s="2295" t="s">
        <v>2115</v>
      </c>
      <c r="J19" s="3048"/>
      <c r="K19" s="3049"/>
    </row>
    <row r="20" spans="1:12">
      <c r="B20" s="2251"/>
      <c r="C20" s="3135" t="s">
        <v>2181</v>
      </c>
      <c r="D20" s="3135"/>
      <c r="E20" s="3135"/>
      <c r="F20" s="3135"/>
      <c r="G20" s="3135" t="s">
        <v>2181</v>
      </c>
      <c r="H20" s="3135"/>
      <c r="I20" s="3135"/>
      <c r="J20" s="2300"/>
      <c r="K20" s="2252"/>
    </row>
    <row r="21" spans="1:12" ht="6" customHeight="1">
      <c r="B21" s="2049"/>
      <c r="C21" s="2108"/>
      <c r="D21" s="2108"/>
      <c r="E21" s="2119"/>
      <c r="F21" s="2119"/>
      <c r="G21" s="2119"/>
      <c r="H21" s="2058"/>
      <c r="I21" s="2058"/>
      <c r="J21" s="2110"/>
      <c r="K21" s="2110"/>
    </row>
    <row r="22" spans="1:12">
      <c r="B22" s="1993" t="s">
        <v>1995</v>
      </c>
      <c r="C22" s="2058">
        <v>0</v>
      </c>
      <c r="D22" s="2058">
        <v>800</v>
      </c>
      <c r="E22" s="2119">
        <v>-800</v>
      </c>
      <c r="F22" s="2119">
        <f>D22+E22</f>
        <v>0</v>
      </c>
      <c r="G22" s="2119">
        <v>0</v>
      </c>
      <c r="H22" s="2058">
        <v>0</v>
      </c>
      <c r="I22" s="2058">
        <v>0</v>
      </c>
      <c r="J22" s="2204" t="s">
        <v>843</v>
      </c>
      <c r="K22" s="2204" t="s">
        <v>843</v>
      </c>
    </row>
    <row r="23" spans="1:12" ht="6" customHeight="1">
      <c r="B23" s="2049"/>
      <c r="C23" s="2108"/>
      <c r="D23" s="2108"/>
      <c r="E23" s="2119"/>
      <c r="F23" s="2119"/>
      <c r="G23" s="2119"/>
      <c r="H23" s="2058"/>
      <c r="I23" s="2058"/>
      <c r="J23" s="2110"/>
      <c r="K23" s="2110"/>
    </row>
    <row r="24" spans="1:12" ht="12.75" thickBot="1">
      <c r="B24" s="2042" t="str">
        <f>B11</f>
        <v>As at March 31, 2019</v>
      </c>
      <c r="C24" s="2108"/>
      <c r="D24" s="2108"/>
      <c r="E24" s="2119"/>
      <c r="F24" s="2119"/>
      <c r="G24" s="2128">
        <f>SUM(G19:G23)</f>
        <v>0</v>
      </c>
      <c r="H24" s="2128">
        <f>SUM(H19:H23)</f>
        <v>0</v>
      </c>
      <c r="I24" s="2128">
        <f>SUM(I19:I23)</f>
        <v>0</v>
      </c>
      <c r="J24" s="2110"/>
      <c r="K24" s="2110"/>
    </row>
    <row r="25" spans="1:12" ht="6" customHeight="1" thickTop="1">
      <c r="B25" s="2049"/>
      <c r="C25" s="2108"/>
      <c r="D25" s="2108"/>
      <c r="E25" s="2119"/>
      <c r="F25" s="2119"/>
      <c r="G25" s="2119"/>
      <c r="H25" s="2058"/>
      <c r="I25" s="2058"/>
      <c r="J25" s="2110"/>
      <c r="K25" s="2110"/>
    </row>
    <row r="26" spans="1:12" ht="12.75" thickBot="1">
      <c r="B26" s="2049" t="s">
        <v>1537</v>
      </c>
      <c r="C26" s="2108"/>
      <c r="D26" s="2108"/>
      <c r="E26" s="2119"/>
      <c r="F26" s="2119"/>
      <c r="G26" s="2144">
        <v>0</v>
      </c>
      <c r="H26" s="2144">
        <v>0</v>
      </c>
      <c r="I26" s="2144">
        <v>0</v>
      </c>
      <c r="J26" s="2110"/>
      <c r="K26" s="2110"/>
    </row>
    <row r="27" spans="1:12" ht="6" customHeight="1" thickTop="1"/>
    <row r="32" spans="1:12" s="2028" customFormat="1" ht="11.25">
      <c r="A32" s="2129"/>
      <c r="B32" s="3115" t="s">
        <v>888</v>
      </c>
      <c r="C32" s="3123" t="s">
        <v>1468</v>
      </c>
      <c r="D32" s="3124"/>
      <c r="E32" s="3124"/>
      <c r="F32" s="3125"/>
      <c r="G32" s="3115" t="s">
        <v>883</v>
      </c>
      <c r="H32" s="3115" t="s">
        <v>884</v>
      </c>
      <c r="I32" s="3115" t="s">
        <v>885</v>
      </c>
      <c r="J32" s="3118" t="s">
        <v>886</v>
      </c>
      <c r="K32" s="3115" t="s">
        <v>887</v>
      </c>
      <c r="L32" s="2118"/>
    </row>
    <row r="33" spans="1:12" s="2028" customFormat="1" ht="11.25">
      <c r="A33" s="2129"/>
      <c r="B33" s="3116"/>
      <c r="C33" s="3126"/>
      <c r="D33" s="3127"/>
      <c r="E33" s="3127"/>
      <c r="F33" s="3128"/>
      <c r="G33" s="3116"/>
      <c r="H33" s="3116"/>
      <c r="I33" s="3116"/>
      <c r="J33" s="3119"/>
      <c r="K33" s="3116"/>
      <c r="L33" s="2118"/>
    </row>
    <row r="34" spans="1:12" s="2028" customFormat="1" ht="11.25">
      <c r="A34" s="2129"/>
      <c r="B34" s="3116"/>
      <c r="C34" s="3129"/>
      <c r="D34" s="3130"/>
      <c r="E34" s="3130"/>
      <c r="F34" s="3128"/>
      <c r="G34" s="3116"/>
      <c r="H34" s="3116"/>
      <c r="I34" s="3116"/>
      <c r="J34" s="3119"/>
      <c r="K34" s="3116"/>
      <c r="L34" s="2118"/>
    </row>
    <row r="35" spans="1:12" s="2028" customFormat="1" ht="11.25">
      <c r="A35" s="2130"/>
      <c r="B35" s="3116"/>
      <c r="C35" s="3129"/>
      <c r="D35" s="3130"/>
      <c r="E35" s="3130"/>
      <c r="F35" s="3128"/>
      <c r="G35" s="3116"/>
      <c r="H35" s="3116"/>
      <c r="I35" s="3116"/>
      <c r="J35" s="3119"/>
      <c r="K35" s="3116"/>
      <c r="L35" s="2118"/>
    </row>
    <row r="36" spans="1:12" s="2028" customFormat="1" ht="11.25">
      <c r="A36" s="2130"/>
      <c r="B36" s="3117"/>
      <c r="C36" s="3131"/>
      <c r="D36" s="3132"/>
      <c r="E36" s="3132"/>
      <c r="F36" s="3133"/>
      <c r="G36" s="3117"/>
      <c r="H36" s="3117"/>
      <c r="I36" s="3117"/>
      <c r="J36" s="3120"/>
      <c r="K36" s="3117"/>
      <c r="L36" s="2118"/>
    </row>
    <row r="37" spans="1:12" s="2028" customFormat="1" ht="11.25">
      <c r="A37" s="2130"/>
      <c r="B37" s="2131"/>
      <c r="C37" s="2131"/>
      <c r="D37" s="2132"/>
      <c r="E37" s="2132"/>
      <c r="G37" s="3121" t="s">
        <v>2201</v>
      </c>
      <c r="H37" s="3122"/>
      <c r="I37" s="3122"/>
      <c r="J37" s="2299"/>
      <c r="K37" s="2110"/>
      <c r="L37" s="2118"/>
    </row>
    <row r="38" spans="1:12" s="2028" customFormat="1" ht="11.25">
      <c r="A38" s="2130"/>
      <c r="B38" s="2027" t="s">
        <v>890</v>
      </c>
      <c r="C38" s="2133" t="s">
        <v>1996</v>
      </c>
      <c r="D38" s="2133"/>
      <c r="E38" s="2133"/>
      <c r="F38" s="2133"/>
      <c r="G38" s="2134">
        <v>72570</v>
      </c>
      <c r="H38" s="2134">
        <f>G38</f>
        <v>72570</v>
      </c>
      <c r="I38" s="2135">
        <v>0</v>
      </c>
      <c r="J38" s="2190">
        <f>G38/BS!$F$30</f>
        <v>7.7893473671104274E-2</v>
      </c>
      <c r="K38" s="2190">
        <f>H38/BS!$F$30</f>
        <v>7.7893473671104274E-2</v>
      </c>
      <c r="L38" s="2118"/>
    </row>
    <row r="39" spans="1:12" s="2028" customFormat="1" ht="11.25">
      <c r="A39" s="2130"/>
      <c r="B39" s="2131"/>
      <c r="C39" s="2133" t="s">
        <v>1997</v>
      </c>
      <c r="D39" s="2133"/>
      <c r="E39" s="2133"/>
      <c r="F39" s="2133"/>
      <c r="G39" s="2134">
        <f>'5.3.1'!H27</f>
        <v>10252</v>
      </c>
      <c r="H39" s="2134">
        <f>G39</f>
        <v>10252</v>
      </c>
      <c r="I39" s="2135">
        <v>0</v>
      </c>
      <c r="J39" s="2190">
        <f>G39/BS!$F$30</f>
        <v>1.1004049773682804E-2</v>
      </c>
      <c r="K39" s="2190">
        <f>H39/BS!$F$30</f>
        <v>1.1004049773682804E-2</v>
      </c>
      <c r="L39" s="2118"/>
    </row>
    <row r="40" spans="1:12" s="1727" customFormat="1">
      <c r="A40" s="1730"/>
      <c r="B40" s="1730"/>
      <c r="C40" s="1821"/>
      <c r="D40" s="1821"/>
      <c r="E40" s="1821"/>
      <c r="F40" s="1603"/>
      <c r="G40" s="1730"/>
      <c r="H40" s="1604"/>
      <c r="I40" s="1819"/>
      <c r="J40" s="1589"/>
      <c r="K40" s="1589"/>
      <c r="L40" s="1781"/>
    </row>
  </sheetData>
  <mergeCells count="22">
    <mergeCell ref="G37:I37"/>
    <mergeCell ref="C32:F36"/>
    <mergeCell ref="B5:B6"/>
    <mergeCell ref="C5:F5"/>
    <mergeCell ref="G5:I5"/>
    <mergeCell ref="B32:B36"/>
    <mergeCell ref="C7:F7"/>
    <mergeCell ref="G7:I7"/>
    <mergeCell ref="B18:B19"/>
    <mergeCell ref="C18:F18"/>
    <mergeCell ref="G18:I18"/>
    <mergeCell ref="C20:F20"/>
    <mergeCell ref="G20:I20"/>
    <mergeCell ref="J5:J6"/>
    <mergeCell ref="G32:G36"/>
    <mergeCell ref="H32:H36"/>
    <mergeCell ref="K5:K6"/>
    <mergeCell ref="I32:I36"/>
    <mergeCell ref="J32:J36"/>
    <mergeCell ref="K32:K36"/>
    <mergeCell ref="K18:K19"/>
    <mergeCell ref="J18:J19"/>
  </mergeCells>
  <printOptions horizontalCentered="1"/>
  <pageMargins left="0.75" right="0.5" top="0.5" bottom="0.4"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G131"/>
  <sheetViews>
    <sheetView view="pageBreakPreview" zoomScaleSheetLayoutView="100" workbookViewId="0">
      <selection activeCell="B48" sqref="B48"/>
    </sheetView>
  </sheetViews>
  <sheetFormatPr defaultColWidth="9" defaultRowHeight="12" zeroHeight="1"/>
  <cols>
    <col min="1" max="1" width="6.625" style="1618" customWidth="1"/>
    <col min="2" max="2" width="9.5" style="1755" customWidth="1"/>
    <col min="3" max="3" width="14" style="1755" customWidth="1"/>
    <col min="4" max="4" width="9.75" style="1755" customWidth="1"/>
    <col min="5" max="5" width="21.25" style="1755" customWidth="1"/>
    <col min="6" max="6" width="8.25" style="1755" customWidth="1"/>
    <col min="7" max="7" width="16.625" style="1755" customWidth="1"/>
    <col min="8" max="8" width="15.625" style="1755" customWidth="1"/>
    <col min="9" max="9" width="16" style="1755" customWidth="1"/>
    <col min="10" max="10" width="16" style="1619" customWidth="1"/>
    <col min="11" max="11" width="13.75" style="1755" customWidth="1"/>
    <col min="12" max="12" width="14.375" style="1755" customWidth="1"/>
    <col min="13" max="13" width="0.625" style="1755" customWidth="1"/>
    <col min="14" max="14" width="1.25" style="1755" customWidth="1"/>
    <col min="15" max="15" width="13.625" style="1755" customWidth="1"/>
    <col min="16" max="16" width="12.625" style="1755" customWidth="1"/>
    <col min="17" max="17" width="14.25" style="1755" customWidth="1"/>
    <col min="18" max="18" width="1.625" style="1755" customWidth="1"/>
    <col min="19" max="19" width="14.25" style="1755" customWidth="1"/>
    <col min="20" max="20" width="14.375" style="1755" customWidth="1"/>
    <col min="21" max="21" width="9.25" style="1755" customWidth="1"/>
    <col min="22" max="22" width="10" style="1755" customWidth="1"/>
    <col min="23" max="23" width="11.25" style="1755" customWidth="1"/>
    <col min="24" max="24" width="10" style="1755" customWidth="1"/>
    <col min="25" max="26" width="9" style="1755"/>
    <col min="27" max="27" width="17.25" style="1755" customWidth="1"/>
    <col min="28" max="28" width="9" style="1755"/>
    <col min="29" max="29" width="16.375" style="1755" customWidth="1"/>
    <col min="30" max="30" width="15.25" style="1755" customWidth="1"/>
    <col min="31" max="31" width="9.25" style="1755" customWidth="1"/>
    <col min="32" max="32" width="9" style="1755"/>
    <col min="33" max="33" width="6.375" style="1755" customWidth="1"/>
    <col min="34" max="16384" width="9" style="1755"/>
  </cols>
  <sheetData>
    <row r="1"/>
    <row r="2"/>
    <row r="3"/>
    <row r="4"/>
    <row r="5"/>
    <row r="6"/>
    <row r="7"/>
    <row r="8"/>
    <row r="9"/>
    <row r="10"/>
    <row r="11"/>
    <row r="12"/>
    <row r="13"/>
    <row r="14"/>
    <row r="15"/>
    <row r="16"/>
    <row r="17"/>
    <row r="18"/>
    <row r="19"/>
    <row r="20"/>
    <row r="21"/>
    <row r="22"/>
    <row r="23"/>
    <row r="24"/>
    <row r="25"/>
    <row r="26"/>
    <row r="27"/>
    <row r="28"/>
    <row r="29"/>
    <row r="30"/>
    <row r="31"/>
    <row r="32"/>
    <row r="33" spans="1:33"/>
    <row r="34" spans="1:33"/>
    <row r="35" spans="1:33"/>
    <row r="36" spans="1:33"/>
    <row r="37" spans="1:33"/>
    <row r="38" spans="1:33" ht="12.75" hidden="1" customHeight="1">
      <c r="B38" s="1621"/>
      <c r="C38" s="1617"/>
      <c r="D38" s="1617"/>
      <c r="E38" s="1617"/>
      <c r="F38" s="1617"/>
      <c r="G38" s="1617"/>
      <c r="H38" s="1617"/>
      <c r="I38" s="3138" t="s">
        <v>1987</v>
      </c>
      <c r="J38" s="2145"/>
      <c r="K38" s="2977" t="s">
        <v>1988</v>
      </c>
      <c r="L38" s="1617"/>
    </row>
    <row r="39" spans="1:33" ht="12.75" hidden="1" customHeight="1">
      <c r="B39" s="1621"/>
      <c r="C39" s="1617"/>
      <c r="D39" s="1617"/>
      <c r="E39" s="1617"/>
      <c r="F39" s="1617"/>
      <c r="G39" s="1617"/>
      <c r="H39" s="1617"/>
      <c r="I39" s="3138"/>
      <c r="J39" s="2145"/>
      <c r="K39" s="2977"/>
      <c r="L39" s="1617"/>
    </row>
    <row r="40" spans="1:33" ht="12.75" hidden="1" customHeight="1">
      <c r="B40" s="1621"/>
      <c r="C40" s="1617"/>
      <c r="D40" s="1617"/>
      <c r="E40" s="1617"/>
      <c r="F40" s="1617"/>
      <c r="G40" s="1617"/>
      <c r="H40" s="1617"/>
      <c r="I40" s="1832" t="s">
        <v>1989</v>
      </c>
      <c r="J40" s="1833"/>
      <c r="K40" s="1832" t="s">
        <v>1916</v>
      </c>
      <c r="L40" s="1617"/>
    </row>
    <row r="41" spans="1:33" ht="12.75" hidden="1" customHeight="1">
      <c r="A41" s="1812" t="s">
        <v>1871</v>
      </c>
      <c r="B41" s="1744" t="s">
        <v>899</v>
      </c>
      <c r="C41" s="1804"/>
      <c r="D41" s="1617"/>
      <c r="E41" s="1617"/>
      <c r="F41" s="1617"/>
      <c r="G41" s="1829" t="s">
        <v>678</v>
      </c>
      <c r="H41" s="1617"/>
      <c r="I41" s="2976" t="s">
        <v>707</v>
      </c>
      <c r="J41" s="2976"/>
      <c r="K41" s="2976"/>
      <c r="L41" s="1617"/>
    </row>
    <row r="42" spans="1:33" ht="12.75" hidden="1" customHeight="1">
      <c r="A42" s="1812"/>
      <c r="B42" s="1744" t="s">
        <v>900</v>
      </c>
      <c r="C42" s="1804"/>
      <c r="D42" s="1617"/>
      <c r="E42" s="1617"/>
      <c r="F42" s="1617"/>
      <c r="G42" s="1617"/>
      <c r="H42" s="1617"/>
      <c r="I42" s="1617"/>
      <c r="J42" s="1549"/>
      <c r="K42" s="1617"/>
      <c r="L42" s="1617"/>
    </row>
    <row r="43" spans="1:33" ht="12.75" hidden="1" customHeight="1">
      <c r="B43" s="1621"/>
      <c r="C43" s="1617"/>
      <c r="D43" s="1617"/>
      <c r="E43" s="1617"/>
      <c r="F43" s="1617"/>
      <c r="G43" s="1617"/>
      <c r="H43" s="1617"/>
      <c r="I43" s="1617"/>
      <c r="J43" s="1549"/>
      <c r="K43" s="1617"/>
      <c r="L43" s="1617"/>
    </row>
    <row r="44" spans="1:33" ht="12.75" hidden="1" customHeight="1">
      <c r="B44" s="1621"/>
      <c r="C44" s="1617"/>
      <c r="D44" s="1617"/>
      <c r="E44" s="1617"/>
      <c r="F44" s="1617"/>
      <c r="G44" s="1617"/>
      <c r="H44" s="1617"/>
      <c r="I44" s="1617"/>
      <c r="J44" s="1549"/>
      <c r="K44" s="1617"/>
      <c r="L44" s="1617"/>
    </row>
    <row r="45" spans="1:33" ht="12.75" hidden="1" customHeight="1">
      <c r="B45" s="1856" t="s">
        <v>2000</v>
      </c>
      <c r="C45" s="1804"/>
      <c r="D45" s="1617"/>
      <c r="E45" s="1617"/>
      <c r="F45" s="1617"/>
      <c r="G45" s="1617"/>
      <c r="H45" s="1617"/>
      <c r="I45" s="1617"/>
      <c r="J45" s="1549"/>
      <c r="K45" s="1617"/>
      <c r="L45" s="1617"/>
    </row>
    <row r="46" spans="1:33" ht="12.75" hidden="1" customHeight="1" thickBot="1">
      <c r="B46" s="1856" t="s">
        <v>2001</v>
      </c>
      <c r="C46" s="1804"/>
      <c r="G46" s="1644">
        <v>13.1</v>
      </c>
      <c r="I46" s="1643">
        <f>BS!$F$24</f>
        <v>63</v>
      </c>
      <c r="J46" s="1915"/>
      <c r="K46" s="1643">
        <v>190</v>
      </c>
      <c r="AA46" s="1755" t="s">
        <v>732</v>
      </c>
      <c r="AG46" s="1755">
        <v>337</v>
      </c>
    </row>
    <row r="47" spans="1:33" s="1619" customFormat="1" ht="12.75" hidden="1" customHeight="1" thickTop="1">
      <c r="A47" s="1624"/>
    </row>
    <row r="48" spans="1:33" s="1619" customFormat="1" ht="12.75" hidden="1" customHeight="1">
      <c r="A48" s="1625"/>
      <c r="B48" s="1645"/>
      <c r="C48" s="1645"/>
      <c r="D48" s="1645"/>
      <c r="E48" s="1645"/>
    </row>
    <row r="49" spans="1:33" s="1619" customFormat="1" ht="12.75" hidden="1" customHeight="1">
      <c r="A49" s="1624"/>
    </row>
    <row r="50" spans="1:33" s="1619" customFormat="1" ht="12.75" hidden="1" customHeight="1">
      <c r="A50" s="1676" t="s">
        <v>1865</v>
      </c>
      <c r="B50" s="3140" t="s">
        <v>903</v>
      </c>
      <c r="C50" s="3140"/>
      <c r="D50" s="3140"/>
      <c r="E50" s="3140"/>
      <c r="F50" s="3140"/>
      <c r="G50" s="3140"/>
      <c r="H50" s="3140"/>
      <c r="I50" s="3140"/>
      <c r="J50" s="3140"/>
      <c r="K50" s="3140"/>
      <c r="L50" s="1553"/>
      <c r="M50" s="1553"/>
      <c r="N50" s="1553"/>
      <c r="O50" s="1553"/>
      <c r="P50" s="1553"/>
      <c r="Q50" s="1553"/>
      <c r="R50" s="1553"/>
      <c r="S50" s="1553"/>
      <c r="T50" s="1553"/>
    </row>
    <row r="51" spans="1:33" s="1619" customFormat="1" hidden="1">
      <c r="A51" s="1676"/>
      <c r="B51" s="3140"/>
      <c r="C51" s="3140"/>
      <c r="D51" s="3140"/>
      <c r="E51" s="3140"/>
      <c r="F51" s="3140"/>
      <c r="G51" s="3140"/>
      <c r="H51" s="3140"/>
      <c r="I51" s="3140"/>
      <c r="J51" s="3140"/>
      <c r="K51" s="3140"/>
      <c r="L51" s="1553"/>
      <c r="M51" s="1553"/>
      <c r="N51" s="1553"/>
      <c r="O51" s="1553"/>
      <c r="P51" s="1553"/>
      <c r="Q51" s="1553"/>
      <c r="R51" s="1553"/>
      <c r="S51" s="1553"/>
      <c r="T51" s="1553"/>
    </row>
    <row r="52" spans="1:33" s="1619" customFormat="1" hidden="1">
      <c r="A52" s="1739"/>
      <c r="B52" s="3140"/>
      <c r="C52" s="3140"/>
      <c r="D52" s="3140"/>
      <c r="E52" s="3140"/>
      <c r="F52" s="3140"/>
      <c r="G52" s="3140"/>
      <c r="H52" s="3140"/>
      <c r="I52" s="3140"/>
      <c r="J52" s="3140"/>
      <c r="K52" s="3140"/>
      <c r="L52" s="1553"/>
      <c r="M52" s="1553"/>
      <c r="N52" s="1553"/>
      <c r="O52" s="1553"/>
      <c r="P52" s="1553"/>
      <c r="Q52" s="1553"/>
      <c r="R52" s="1553"/>
      <c r="S52" s="1553"/>
      <c r="T52" s="1553"/>
    </row>
    <row r="53" spans="1:33" s="1619" customFormat="1" ht="25.5" hidden="1" customHeight="1">
      <c r="A53" s="1739"/>
      <c r="B53" s="1806"/>
      <c r="C53" s="1806"/>
      <c r="D53" s="1558"/>
      <c r="E53" s="1696"/>
      <c r="F53" s="1917"/>
      <c r="G53" s="1917"/>
      <c r="H53" s="1917"/>
    </row>
    <row r="54" spans="1:33" s="1619" customFormat="1" hidden="1">
      <c r="A54" s="1739"/>
      <c r="B54" s="1807" t="s">
        <v>904</v>
      </c>
      <c r="C54" s="1806"/>
      <c r="D54" s="1727"/>
      <c r="E54" s="1808"/>
      <c r="F54" s="1808"/>
      <c r="G54" s="1917"/>
      <c r="H54" s="1699" t="s">
        <v>905</v>
      </c>
    </row>
    <row r="55" spans="1:33" s="1619" customFormat="1" ht="7.5" hidden="1" customHeight="1">
      <c r="A55" s="1739"/>
      <c r="B55" s="1806"/>
      <c r="C55" s="1806"/>
      <c r="D55" s="1558"/>
      <c r="E55" s="1696"/>
      <c r="F55" s="1917"/>
      <c r="G55" s="1917"/>
      <c r="H55" s="1917"/>
    </row>
    <row r="56" spans="1:33" s="1619" customFormat="1" hidden="1">
      <c r="A56" s="1739"/>
      <c r="B56" s="1806" t="s">
        <v>906</v>
      </c>
      <c r="C56" s="1806"/>
      <c r="D56" s="1727"/>
      <c r="H56" s="1809" t="s">
        <v>907</v>
      </c>
      <c r="I56" s="1810"/>
      <c r="J56" s="1810"/>
      <c r="K56" s="1685"/>
      <c r="L56" s="1811"/>
    </row>
    <row r="57" spans="1:33" s="1619" customFormat="1" ht="8.25" hidden="1" customHeight="1">
      <c r="A57" s="1739"/>
      <c r="B57" s="1806"/>
      <c r="C57" s="1806"/>
      <c r="D57" s="1727"/>
      <c r="H57" s="1809"/>
      <c r="I57" s="1810"/>
      <c r="J57" s="1810"/>
      <c r="K57" s="1811"/>
      <c r="L57" s="1811"/>
    </row>
    <row r="58" spans="1:33" s="1619" customFormat="1" ht="12.95" hidden="1" customHeight="1">
      <c r="A58" s="1739"/>
      <c r="B58" s="1806" t="s">
        <v>908</v>
      </c>
      <c r="C58" s="1806"/>
      <c r="D58" s="1727"/>
      <c r="H58" s="3141" t="s">
        <v>909</v>
      </c>
      <c r="I58" s="3141"/>
      <c r="J58" s="1824"/>
      <c r="K58" s="1825"/>
      <c r="L58" s="1825"/>
      <c r="AA58" s="1626"/>
      <c r="AC58" s="1637"/>
      <c r="AD58" s="1637"/>
    </row>
    <row r="59" spans="1:33" s="1619" customFormat="1" ht="12.95" hidden="1" customHeight="1">
      <c r="A59" s="1739"/>
      <c r="B59" s="1806"/>
      <c r="C59" s="1806"/>
      <c r="D59" s="1727"/>
      <c r="H59" s="3141"/>
      <c r="I59" s="3141"/>
      <c r="J59" s="1824"/>
      <c r="K59" s="1825"/>
      <c r="L59" s="1825"/>
    </row>
    <row r="60" spans="1:33" s="1730" customFormat="1" hidden="1">
      <c r="A60" s="1739"/>
      <c r="B60" s="1806"/>
      <c r="C60" s="1806"/>
      <c r="D60" s="1727"/>
      <c r="H60" s="3141"/>
      <c r="I60" s="3141"/>
      <c r="J60" s="1824"/>
      <c r="K60" s="1811"/>
      <c r="L60" s="1811"/>
      <c r="AC60" s="1852"/>
    </row>
    <row r="61" spans="1:33" s="1730" customFormat="1" ht="12.75" hidden="1" customHeight="1">
      <c r="A61" s="1739"/>
      <c r="B61" s="1806" t="s">
        <v>910</v>
      </c>
      <c r="C61" s="1806"/>
      <c r="D61" s="1727"/>
      <c r="H61" s="3142" t="s">
        <v>911</v>
      </c>
      <c r="I61" s="3142"/>
      <c r="J61" s="1825"/>
      <c r="K61" s="1825"/>
      <c r="L61" s="1825"/>
    </row>
    <row r="62" spans="1:33" s="1730" customFormat="1" hidden="1">
      <c r="A62" s="1739"/>
      <c r="B62" s="1804"/>
      <c r="C62" s="1804"/>
      <c r="D62" s="1727"/>
      <c r="H62" s="3142"/>
      <c r="I62" s="3142"/>
      <c r="J62" s="1825"/>
      <c r="K62" s="1825"/>
      <c r="L62" s="1825"/>
      <c r="AC62" s="1628"/>
      <c r="AG62" s="1628"/>
    </row>
    <row r="63" spans="1:33" s="1730" customFormat="1" ht="12" hidden="1" customHeight="1">
      <c r="A63" s="1627"/>
      <c r="G63" s="1827"/>
      <c r="H63" s="1827"/>
      <c r="I63" s="1827"/>
      <c r="J63" s="1827"/>
      <c r="K63" s="1827"/>
      <c r="L63" s="1827"/>
      <c r="M63" s="1827"/>
      <c r="N63" s="1827"/>
      <c r="O63" s="1827"/>
      <c r="P63" s="1827"/>
      <c r="Q63" s="1827"/>
      <c r="R63" s="1827"/>
      <c r="S63" s="1827"/>
      <c r="T63" s="1827"/>
    </row>
    <row r="64" spans="1:33" s="1730" customFormat="1" ht="12" hidden="1" customHeight="1">
      <c r="A64" s="1627"/>
      <c r="G64" s="3136"/>
      <c r="H64" s="3136"/>
      <c r="I64" s="3136"/>
      <c r="J64" s="1826"/>
      <c r="K64" s="3136"/>
      <c r="L64" s="3136"/>
      <c r="O64" s="3136"/>
      <c r="P64" s="3136"/>
      <c r="Q64" s="3136"/>
      <c r="R64" s="3136"/>
      <c r="S64" s="3136"/>
      <c r="T64" s="3136"/>
    </row>
    <row r="65" spans="1:24" s="1730" customFormat="1" ht="12" hidden="1" customHeight="1">
      <c r="A65" s="1627"/>
      <c r="G65" s="3136"/>
      <c r="H65" s="3136"/>
      <c r="I65" s="3136"/>
      <c r="J65" s="1826"/>
      <c r="K65" s="3136"/>
      <c r="L65" s="3136"/>
      <c r="O65" s="3136"/>
      <c r="P65" s="3136"/>
      <c r="Q65" s="3136"/>
      <c r="R65" s="3136"/>
      <c r="S65" s="3136"/>
      <c r="T65" s="3136"/>
    </row>
    <row r="66" spans="1:24" s="1730" customFormat="1" ht="12" hidden="1" customHeight="1">
      <c r="A66" s="1627"/>
      <c r="G66" s="3136"/>
      <c r="H66" s="3136"/>
      <c r="I66" s="3136"/>
      <c r="J66" s="1826"/>
      <c r="K66" s="3136"/>
      <c r="L66" s="3136"/>
      <c r="O66" s="3136"/>
      <c r="P66" s="3136"/>
      <c r="Q66" s="3136"/>
      <c r="R66" s="3136"/>
      <c r="S66" s="3136"/>
      <c r="T66" s="3136"/>
    </row>
    <row r="67" spans="1:24" s="1730" customFormat="1" ht="12" hidden="1" customHeight="1">
      <c r="A67" s="1627"/>
      <c r="G67" s="3137"/>
      <c r="H67" s="3137"/>
      <c r="I67" s="3137"/>
      <c r="J67" s="3137"/>
      <c r="K67" s="3137"/>
      <c r="L67" s="3137"/>
      <c r="M67" s="1686"/>
      <c r="N67" s="3137"/>
      <c r="O67" s="3137"/>
      <c r="P67" s="3137"/>
      <c r="Q67" s="3137"/>
      <c r="R67" s="3137"/>
      <c r="S67" s="3137"/>
      <c r="T67" s="3137"/>
    </row>
    <row r="68" spans="1:24" s="1619" customFormat="1" ht="12" hidden="1" customHeight="1">
      <c r="A68" s="1624"/>
      <c r="I68" s="3138" t="s">
        <v>1987</v>
      </c>
      <c r="J68" s="2145"/>
      <c r="K68" s="2977" t="s">
        <v>1988</v>
      </c>
      <c r="L68" s="1629"/>
      <c r="M68" s="1629"/>
      <c r="N68" s="1629"/>
      <c r="O68" s="1629"/>
      <c r="P68" s="1629"/>
      <c r="Q68" s="1629"/>
      <c r="R68" s="1629"/>
      <c r="S68" s="1629"/>
      <c r="T68" s="1622"/>
    </row>
    <row r="69" spans="1:24" s="1730" customFormat="1" ht="12" hidden="1" customHeight="1">
      <c r="A69" s="1627"/>
      <c r="B69" s="1630"/>
      <c r="G69" s="1728"/>
      <c r="I69" s="3138"/>
      <c r="J69" s="2145"/>
      <c r="K69" s="2977"/>
      <c r="L69" s="1631"/>
      <c r="M69" s="1631"/>
      <c r="N69" s="1631"/>
      <c r="O69" s="1728"/>
      <c r="P69" s="1631"/>
      <c r="Q69" s="1631"/>
      <c r="R69" s="1631"/>
      <c r="S69" s="1631"/>
      <c r="T69" s="1623"/>
      <c r="U69" s="1619"/>
    </row>
    <row r="70" spans="1:24" s="1619" customFormat="1" ht="12" hidden="1" customHeight="1">
      <c r="A70" s="1812">
        <v>14</v>
      </c>
      <c r="B70" s="3143" t="s">
        <v>2002</v>
      </c>
      <c r="C70" s="3143"/>
      <c r="D70" s="3143"/>
      <c r="E70" s="3143"/>
      <c r="G70" s="1829" t="s">
        <v>678</v>
      </c>
      <c r="I70" s="1832" t="s">
        <v>1989</v>
      </c>
      <c r="J70" s="1833"/>
      <c r="K70" s="1832" t="s">
        <v>1916</v>
      </c>
      <c r="L70" s="1629"/>
      <c r="M70" s="1629"/>
      <c r="N70" s="1629"/>
      <c r="O70" s="1633"/>
      <c r="P70" s="1629"/>
      <c r="Q70" s="1629"/>
      <c r="R70" s="1629"/>
      <c r="S70" s="1629"/>
      <c r="T70" s="1622"/>
      <c r="V70" s="1730"/>
      <c r="W70" s="1730"/>
    </row>
    <row r="71" spans="1:24" s="1619" customFormat="1" ht="12" hidden="1" customHeight="1">
      <c r="A71" s="1812"/>
      <c r="B71" s="3143"/>
      <c r="C71" s="3143"/>
      <c r="D71" s="3143"/>
      <c r="E71" s="3143"/>
      <c r="G71" s="1728"/>
      <c r="H71" s="1728"/>
      <c r="I71" s="2976" t="s">
        <v>707</v>
      </c>
      <c r="J71" s="2976"/>
      <c r="K71" s="2976"/>
      <c r="L71" s="1634"/>
      <c r="M71" s="1629"/>
      <c r="N71" s="1629"/>
      <c r="O71" s="1728"/>
      <c r="P71" s="1728"/>
      <c r="Q71" s="1728"/>
      <c r="R71" s="1728"/>
      <c r="S71" s="1728"/>
      <c r="T71" s="1882"/>
      <c r="V71" s="1917"/>
      <c r="W71" s="1852"/>
      <c r="X71" s="1852"/>
    </row>
    <row r="72" spans="1:24" s="1619" customFormat="1" ht="12" hidden="1" customHeight="1">
      <c r="A72" s="1812"/>
      <c r="B72" s="1822"/>
      <c r="C72" s="1822"/>
      <c r="D72" s="1822"/>
      <c r="E72" s="1822"/>
      <c r="G72" s="1728"/>
      <c r="H72" s="1728"/>
      <c r="I72" s="1831"/>
      <c r="J72" s="1858"/>
      <c r="K72" s="1831"/>
      <c r="L72" s="1634"/>
      <c r="M72" s="1629"/>
      <c r="N72" s="1629"/>
      <c r="O72" s="1728"/>
      <c r="P72" s="1728"/>
      <c r="Q72" s="1728"/>
      <c r="R72" s="1728"/>
      <c r="S72" s="1728"/>
      <c r="T72" s="1882"/>
      <c r="V72" s="1917"/>
      <c r="W72" s="1852"/>
      <c r="X72" s="1852"/>
    </row>
    <row r="73" spans="1:24" s="1619" customFormat="1" ht="12" hidden="1" customHeight="1" thickBot="1">
      <c r="A73" s="1624"/>
      <c r="B73" s="3139" t="s">
        <v>2230</v>
      </c>
      <c r="C73" s="3139"/>
      <c r="D73" s="3139"/>
      <c r="E73" s="3139"/>
      <c r="G73" s="1647">
        <v>14.1</v>
      </c>
      <c r="H73" s="1633"/>
      <c r="I73" s="1643">
        <f>BS!$F$25</f>
        <v>38</v>
      </c>
      <c r="J73" s="1915"/>
      <c r="K73" s="1643">
        <v>1378</v>
      </c>
      <c r="L73" s="1640"/>
      <c r="M73" s="1629"/>
      <c r="N73" s="1629"/>
      <c r="O73" s="1728"/>
      <c r="P73" s="1633"/>
      <c r="Q73" s="1633"/>
      <c r="R73" s="1633"/>
      <c r="S73" s="1633"/>
      <c r="T73" s="1646"/>
      <c r="V73" s="1917"/>
      <c r="W73" s="1852"/>
      <c r="X73" s="1852"/>
    </row>
    <row r="74" spans="1:24" s="1619" customFormat="1" ht="12" hidden="1" customHeight="1" thickTop="1">
      <c r="A74" s="1624"/>
      <c r="B74" s="1823"/>
      <c r="C74" s="1823"/>
      <c r="D74" s="1823"/>
      <c r="E74" s="1823"/>
      <c r="G74" s="1730"/>
      <c r="O74" s="1730"/>
      <c r="T74" s="1632"/>
      <c r="V74" s="1917"/>
      <c r="W74" s="1852"/>
      <c r="X74" s="1852"/>
    </row>
    <row r="75" spans="1:24" s="1619" customFormat="1" ht="12" hidden="1" customHeight="1">
      <c r="A75" s="1624"/>
      <c r="B75" s="1630"/>
      <c r="G75" s="1728"/>
      <c r="H75" s="1728"/>
      <c r="I75" s="1728"/>
      <c r="J75" s="1728"/>
      <c r="K75" s="1728"/>
      <c r="L75" s="1635"/>
      <c r="O75" s="1728"/>
      <c r="P75" s="1728"/>
      <c r="Q75" s="1728"/>
      <c r="R75" s="1728"/>
      <c r="S75" s="1728"/>
      <c r="T75" s="1882"/>
      <c r="V75" s="1917"/>
      <c r="W75" s="1852"/>
      <c r="X75" s="1852"/>
    </row>
    <row r="76" spans="1:24" s="1619" customFormat="1" ht="12" hidden="1" customHeight="1">
      <c r="A76" s="1648">
        <f>G73</f>
        <v>14.1</v>
      </c>
      <c r="B76" s="2966" t="s">
        <v>1397</v>
      </c>
      <c r="C76" s="2966"/>
      <c r="D76" s="2966"/>
      <c r="E76" s="2966"/>
      <c r="F76" s="2966"/>
      <c r="G76" s="2966"/>
      <c r="H76" s="2966"/>
      <c r="I76" s="2966"/>
      <c r="J76" s="2966"/>
      <c r="K76" s="2966"/>
      <c r="L76" s="1632"/>
      <c r="O76" s="1730"/>
      <c r="T76" s="1632"/>
      <c r="V76" s="1917"/>
      <c r="W76" s="1852"/>
      <c r="X76" s="1852"/>
    </row>
    <row r="77" spans="1:24" s="1619" customFormat="1" ht="12" hidden="1" customHeight="1">
      <c r="A77" s="1624"/>
      <c r="B77" s="2966"/>
      <c r="C77" s="2966"/>
      <c r="D77" s="2966"/>
      <c r="E77" s="2966"/>
      <c r="F77" s="2966"/>
      <c r="G77" s="2966"/>
      <c r="H77" s="2966"/>
      <c r="I77" s="2966"/>
      <c r="J77" s="2966"/>
      <c r="K77" s="2966"/>
      <c r="L77" s="1635"/>
      <c r="O77" s="1728"/>
      <c r="P77" s="1728"/>
      <c r="Q77" s="1728"/>
      <c r="R77" s="1728"/>
      <c r="S77" s="1728"/>
      <c r="T77" s="1882"/>
      <c r="V77" s="1917"/>
      <c r="W77" s="1852"/>
      <c r="X77" s="1852"/>
    </row>
    <row r="78" spans="1:24" s="1619" customFormat="1" ht="12" hidden="1" customHeight="1">
      <c r="A78" s="1624"/>
      <c r="B78" s="2966"/>
      <c r="C78" s="2966"/>
      <c r="D78" s="2966"/>
      <c r="E78" s="2966"/>
      <c r="F78" s="2966"/>
      <c r="G78" s="2966"/>
      <c r="H78" s="2966"/>
      <c r="I78" s="2966"/>
      <c r="J78" s="2966"/>
      <c r="K78" s="2966"/>
      <c r="L78" s="1635"/>
      <c r="O78" s="1728"/>
      <c r="P78" s="1728"/>
      <c r="Q78" s="1728"/>
      <c r="R78" s="1728"/>
      <c r="S78" s="1728"/>
      <c r="T78" s="1882"/>
      <c r="V78" s="1917"/>
      <c r="W78" s="1852"/>
      <c r="X78" s="1852"/>
    </row>
    <row r="79" spans="1:24" s="1619" customFormat="1" ht="12" hidden="1" customHeight="1">
      <c r="A79" s="1624"/>
      <c r="B79" s="1630"/>
      <c r="G79" s="1730"/>
      <c r="L79" s="1636"/>
      <c r="M79" s="1637"/>
      <c r="N79" s="1637"/>
      <c r="O79" s="1917"/>
      <c r="P79" s="1637"/>
      <c r="Q79" s="1637"/>
      <c r="R79" s="1637"/>
      <c r="S79" s="1637"/>
      <c r="T79" s="1636"/>
      <c r="V79" s="1917"/>
      <c r="W79" s="1852"/>
      <c r="X79" s="1852"/>
    </row>
    <row r="80" spans="1:24" s="1619" customFormat="1" ht="12" hidden="1" customHeight="1">
      <c r="A80" s="1624"/>
      <c r="B80" s="1730"/>
      <c r="G80" s="1728"/>
      <c r="H80" s="1728"/>
      <c r="I80" s="1728"/>
      <c r="J80" s="1728"/>
      <c r="K80" s="1728"/>
      <c r="L80" s="1634"/>
      <c r="M80" s="1629"/>
      <c r="N80" s="1629"/>
      <c r="O80" s="1728"/>
      <c r="P80" s="1728"/>
      <c r="Q80" s="1728"/>
      <c r="R80" s="1728"/>
      <c r="S80" s="1728"/>
      <c r="T80" s="1882"/>
      <c r="V80" s="1917"/>
      <c r="W80" s="1852"/>
      <c r="X80" s="1852"/>
    </row>
    <row r="81" spans="1:24" s="1619" customFormat="1">
      <c r="A81" s="1624"/>
      <c r="B81" s="1730"/>
      <c r="G81" s="1728"/>
      <c r="H81" s="1728"/>
      <c r="I81" s="1728"/>
      <c r="J81" s="1728"/>
      <c r="K81" s="1728"/>
      <c r="L81" s="1635"/>
      <c r="M81" s="1629"/>
      <c r="N81" s="1629"/>
      <c r="O81" s="1728"/>
      <c r="P81" s="1728"/>
      <c r="Q81" s="1728"/>
      <c r="R81" s="1728"/>
      <c r="S81" s="1728"/>
      <c r="T81" s="1882"/>
      <c r="V81" s="1917"/>
      <c r="W81" s="1852"/>
      <c r="X81" s="1852"/>
    </row>
    <row r="82" spans="1:24" s="1619" customFormat="1">
      <c r="A82" s="1624"/>
      <c r="B82" s="1632"/>
      <c r="L82" s="1632"/>
    </row>
    <row r="83" spans="1:24" s="1730" customFormat="1">
      <c r="A83" s="1627"/>
      <c r="G83" s="2866"/>
      <c r="H83" s="2866"/>
      <c r="I83" s="2866"/>
      <c r="J83" s="2866"/>
      <c r="K83" s="2866"/>
      <c r="L83" s="2866"/>
      <c r="M83" s="2866"/>
      <c r="N83" s="2866"/>
      <c r="O83" s="2866"/>
      <c r="P83" s="2866"/>
      <c r="Q83" s="2866"/>
      <c r="R83" s="2866"/>
      <c r="S83" s="2866"/>
      <c r="T83" s="2866"/>
    </row>
    <row r="84" spans="1:24" s="1730" customFormat="1">
      <c r="A84" s="1627"/>
      <c r="G84" s="3136"/>
      <c r="H84" s="3136"/>
      <c r="I84" s="3136"/>
      <c r="J84" s="1826"/>
      <c r="K84" s="3136"/>
      <c r="L84" s="3136"/>
      <c r="O84" s="3136"/>
      <c r="P84" s="3136"/>
      <c r="Q84" s="3136"/>
      <c r="R84" s="3136"/>
      <c r="S84" s="3136"/>
      <c r="T84" s="3136"/>
    </row>
    <row r="85" spans="1:24" s="1730" customFormat="1">
      <c r="A85" s="1627"/>
      <c r="G85" s="3136"/>
      <c r="H85" s="3136"/>
      <c r="I85" s="3136"/>
      <c r="J85" s="1826"/>
      <c r="K85" s="3136"/>
      <c r="L85" s="3136"/>
      <c r="O85" s="3136"/>
      <c r="P85" s="3136"/>
      <c r="Q85" s="3136"/>
      <c r="R85" s="3136"/>
      <c r="S85" s="3136"/>
      <c r="T85" s="3136"/>
    </row>
    <row r="86" spans="1:24" s="1730" customFormat="1">
      <c r="A86" s="1627"/>
      <c r="G86" s="3136"/>
      <c r="H86" s="3136"/>
      <c r="I86" s="3136"/>
      <c r="J86" s="1826"/>
      <c r="K86" s="3136"/>
      <c r="L86" s="3136"/>
      <c r="O86" s="3136"/>
      <c r="P86" s="3136"/>
      <c r="Q86" s="3136"/>
      <c r="R86" s="3136"/>
      <c r="S86" s="3136"/>
      <c r="T86" s="3136"/>
    </row>
    <row r="87" spans="1:24" s="1730" customFormat="1">
      <c r="A87" s="1627"/>
      <c r="G87" s="3137"/>
      <c r="H87" s="3137"/>
      <c r="I87" s="3137"/>
      <c r="J87" s="3137"/>
      <c r="K87" s="3137"/>
      <c r="L87" s="3137"/>
      <c r="M87" s="1686"/>
      <c r="N87" s="3137"/>
      <c r="O87" s="3137"/>
      <c r="P87" s="3137"/>
      <c r="Q87" s="3137"/>
      <c r="R87" s="3137"/>
      <c r="S87" s="3137"/>
      <c r="T87" s="3137"/>
    </row>
    <row r="88" spans="1:24" s="1619" customFormat="1">
      <c r="A88" s="1624"/>
      <c r="B88" s="1630"/>
      <c r="G88" s="1637"/>
      <c r="L88" s="1629"/>
      <c r="M88" s="1629"/>
      <c r="N88" s="1629"/>
      <c r="O88" s="1629"/>
      <c r="P88" s="1629"/>
      <c r="Q88" s="1629"/>
      <c r="R88" s="1629"/>
      <c r="S88" s="1629"/>
      <c r="T88" s="1622"/>
    </row>
    <row r="89" spans="1:24" s="1619" customFormat="1">
      <c r="A89" s="1624"/>
      <c r="B89" s="1632"/>
      <c r="L89" s="1629"/>
      <c r="M89" s="1629"/>
      <c r="N89" s="1629"/>
      <c r="O89" s="1629"/>
      <c r="P89" s="1629"/>
      <c r="Q89" s="1629"/>
      <c r="R89" s="1629"/>
      <c r="S89" s="1629"/>
      <c r="T89" s="1622"/>
    </row>
    <row r="90" spans="1:24" s="1730" customFormat="1">
      <c r="A90" s="1627"/>
      <c r="G90" s="1728"/>
      <c r="H90" s="1728"/>
      <c r="I90" s="1728"/>
      <c r="J90" s="1728"/>
      <c r="K90" s="1728"/>
      <c r="L90" s="1638"/>
      <c r="M90" s="1917"/>
      <c r="N90" s="1639"/>
      <c r="O90" s="1728"/>
      <c r="P90" s="1728"/>
      <c r="Q90" s="1728"/>
      <c r="R90" s="1728"/>
      <c r="S90" s="1728"/>
      <c r="T90" s="1728"/>
    </row>
    <row r="91" spans="1:24" s="1730" customFormat="1">
      <c r="A91" s="1627"/>
      <c r="G91" s="1728"/>
      <c r="H91" s="1728"/>
      <c r="I91" s="1728"/>
      <c r="J91" s="1728"/>
      <c r="K91" s="1728"/>
      <c r="L91" s="1638"/>
      <c r="M91" s="1917"/>
      <c r="N91" s="1639"/>
      <c r="O91" s="1728"/>
      <c r="P91" s="1728"/>
      <c r="Q91" s="1728"/>
      <c r="R91" s="1728"/>
      <c r="S91" s="1728"/>
      <c r="T91" s="1728"/>
    </row>
    <row r="92" spans="1:24" s="1730" customFormat="1">
      <c r="A92" s="1627"/>
      <c r="G92" s="1728"/>
      <c r="H92" s="1728"/>
      <c r="I92" s="1728"/>
      <c r="J92" s="1728"/>
      <c r="K92" s="1728"/>
      <c r="L92" s="1638"/>
      <c r="M92" s="1917"/>
      <c r="N92" s="1639"/>
      <c r="O92" s="1728"/>
      <c r="P92" s="1728"/>
      <c r="Q92" s="1728"/>
      <c r="R92" s="1728"/>
      <c r="S92" s="1728"/>
      <c r="T92" s="1728"/>
    </row>
    <row r="93" spans="1:24" s="1730" customFormat="1">
      <c r="A93" s="1627"/>
      <c r="G93" s="1728"/>
      <c r="H93" s="1728"/>
      <c r="I93" s="1728"/>
      <c r="J93" s="1728"/>
      <c r="K93" s="1728"/>
      <c r="L93" s="1638"/>
      <c r="M93" s="1917"/>
      <c r="N93" s="1639"/>
      <c r="O93" s="1728"/>
      <c r="P93" s="1728"/>
      <c r="Q93" s="1728"/>
      <c r="R93" s="1728"/>
      <c r="S93" s="1728"/>
      <c r="T93" s="1728"/>
    </row>
    <row r="94" spans="1:24" s="1619" customFormat="1">
      <c r="A94" s="1624"/>
    </row>
    <row r="95" spans="1:24" s="1730" customFormat="1">
      <c r="A95" s="1627"/>
      <c r="B95" s="1630"/>
      <c r="G95" s="1728"/>
      <c r="H95" s="1728"/>
      <c r="I95" s="1728"/>
      <c r="J95" s="1728"/>
      <c r="K95" s="1728"/>
      <c r="L95" s="1638"/>
      <c r="M95" s="1917"/>
      <c r="O95" s="1728"/>
      <c r="P95" s="1728"/>
      <c r="Q95" s="1728"/>
      <c r="R95" s="1728"/>
      <c r="S95" s="1728"/>
      <c r="T95" s="1728"/>
    </row>
    <row r="96" spans="1:24" s="1619" customFormat="1">
      <c r="A96" s="1624"/>
    </row>
    <row r="97" spans="1:20" s="1730" customFormat="1">
      <c r="A97" s="1627"/>
      <c r="B97" s="1630"/>
      <c r="G97" s="1728"/>
      <c r="H97" s="1728"/>
      <c r="I97" s="1728"/>
      <c r="J97" s="1728"/>
      <c r="K97" s="1728"/>
      <c r="L97" s="1638"/>
      <c r="M97" s="1917"/>
      <c r="O97" s="1728"/>
      <c r="P97" s="1728"/>
      <c r="Q97" s="1728"/>
      <c r="R97" s="1728"/>
      <c r="S97" s="1728"/>
      <c r="T97" s="1728"/>
    </row>
    <row r="98" spans="1:20" s="1730" customFormat="1">
      <c r="A98" s="1627"/>
      <c r="B98" s="1630"/>
      <c r="G98" s="1728"/>
      <c r="H98" s="1728"/>
      <c r="I98" s="1728"/>
      <c r="J98" s="1728"/>
      <c r="K98" s="1728"/>
      <c r="L98" s="1638"/>
      <c r="M98" s="1917"/>
      <c r="O98" s="1728"/>
      <c r="P98" s="1728"/>
      <c r="Q98" s="1728"/>
      <c r="R98" s="1728"/>
      <c r="S98" s="1728"/>
      <c r="T98" s="1728"/>
    </row>
    <row r="99" spans="1:20" s="1619" customFormat="1">
      <c r="A99" s="1624"/>
      <c r="B99" s="1630"/>
      <c r="G99" s="1730"/>
      <c r="L99" s="1636"/>
      <c r="M99" s="1637"/>
      <c r="N99" s="1637"/>
      <c r="O99" s="1917"/>
      <c r="P99" s="1637"/>
      <c r="Q99" s="1637"/>
      <c r="R99" s="1637"/>
      <c r="S99" s="1637"/>
      <c r="T99" s="1637"/>
    </row>
    <row r="100" spans="1:20" s="1619" customFormat="1">
      <c r="A100" s="1624"/>
      <c r="B100" s="1730"/>
      <c r="G100" s="1728"/>
      <c r="H100" s="1728"/>
      <c r="I100" s="1728"/>
      <c r="J100" s="1728"/>
      <c r="K100" s="1728"/>
      <c r="L100" s="1638"/>
      <c r="M100" s="1629"/>
      <c r="N100" s="1629"/>
      <c r="O100" s="1728"/>
      <c r="P100" s="1728"/>
      <c r="Q100" s="1728"/>
      <c r="R100" s="1728"/>
      <c r="S100" s="1728"/>
      <c r="T100" s="1728"/>
    </row>
    <row r="101" spans="1:20" s="1619" customFormat="1">
      <c r="A101" s="1624"/>
      <c r="G101" s="1633"/>
      <c r="H101" s="1633"/>
      <c r="I101" s="1633"/>
      <c r="J101" s="1633"/>
      <c r="K101" s="1633"/>
      <c r="L101" s="1640"/>
      <c r="M101" s="1629"/>
      <c r="N101" s="1629"/>
      <c r="O101" s="1633"/>
      <c r="P101" s="1633"/>
      <c r="Q101" s="1633"/>
      <c r="R101" s="1633"/>
      <c r="S101" s="1633"/>
      <c r="T101" s="1633"/>
    </row>
    <row r="102" spans="1:20" s="1619" customFormat="1">
      <c r="A102" s="1624"/>
      <c r="L102" s="1640"/>
      <c r="M102" s="1641"/>
      <c r="N102" s="1641"/>
      <c r="O102" s="1641"/>
      <c r="P102" s="1641"/>
      <c r="Q102" s="1641"/>
      <c r="R102" s="1641"/>
      <c r="S102" s="1641"/>
      <c r="T102" s="1633"/>
    </row>
    <row r="103" spans="1:20" s="1619" customFormat="1">
      <c r="A103" s="1624"/>
      <c r="B103" s="1730"/>
      <c r="G103" s="1728"/>
      <c r="H103" s="1728"/>
      <c r="I103" s="1728"/>
      <c r="J103" s="1728"/>
      <c r="K103" s="1728"/>
      <c r="L103" s="1728"/>
      <c r="M103" s="1641"/>
      <c r="N103" s="1641"/>
      <c r="O103" s="1728"/>
      <c r="P103" s="1728"/>
      <c r="Q103" s="1728"/>
      <c r="R103" s="1641"/>
      <c r="S103" s="1728"/>
      <c r="T103" s="1728"/>
    </row>
    <row r="104" spans="1:20" s="1619" customFormat="1">
      <c r="A104" s="1624"/>
      <c r="L104" s="1640"/>
      <c r="M104" s="1641"/>
      <c r="N104" s="1641"/>
      <c r="O104" s="1641"/>
      <c r="P104" s="1641"/>
      <c r="Q104" s="1641"/>
      <c r="R104" s="1641"/>
      <c r="S104" s="1641"/>
      <c r="T104" s="1633"/>
    </row>
    <row r="105" spans="1:20" s="1619" customFormat="1">
      <c r="A105" s="1624"/>
      <c r="B105" s="1642"/>
      <c r="L105" s="1640"/>
      <c r="M105" s="1641"/>
      <c r="N105" s="1641"/>
      <c r="O105" s="1641"/>
      <c r="P105" s="1641"/>
      <c r="Q105" s="1641"/>
      <c r="R105" s="1641"/>
      <c r="S105" s="1641"/>
      <c r="T105" s="1633"/>
    </row>
    <row r="106" spans="1:20" s="1619" customFormat="1">
      <c r="A106" s="1624"/>
    </row>
    <row r="107" spans="1:20" s="1619" customFormat="1">
      <c r="A107" s="1624"/>
    </row>
    <row r="108" spans="1:20" s="1619" customFormat="1">
      <c r="A108" s="1624"/>
    </row>
    <row r="109" spans="1:20" s="1619" customFormat="1">
      <c r="A109" s="1624"/>
    </row>
    <row r="110" spans="1:20" s="1619" customFormat="1">
      <c r="A110" s="1624"/>
    </row>
    <row r="111" spans="1:20" s="1619" customFormat="1">
      <c r="A111" s="1624"/>
    </row>
    <row r="112" spans="1:20" s="1619" customFormat="1">
      <c r="A112" s="1624"/>
    </row>
    <row r="113" spans="1:1" s="1619" customFormat="1">
      <c r="A113" s="1624"/>
    </row>
    <row r="114" spans="1:1"/>
    <row r="115" spans="1:1"/>
    <row r="116" spans="1:1"/>
    <row r="117" spans="1:1"/>
    <row r="118" spans="1:1"/>
    <row r="119" spans="1:1"/>
    <row r="120" spans="1:1"/>
    <row r="121" spans="1:1"/>
    <row r="122" spans="1:1"/>
    <row r="123" spans="1:1"/>
    <row r="124" spans="1:1"/>
    <row r="125" spans="1:1"/>
    <row r="126" spans="1:1"/>
    <row r="127" spans="1:1"/>
    <row r="128" spans="1:1"/>
    <row r="129"/>
    <row r="130"/>
    <row r="131"/>
  </sheetData>
  <mergeCells count="37">
    <mergeCell ref="I38:I39"/>
    <mergeCell ref="K38:K39"/>
    <mergeCell ref="I41:K41"/>
    <mergeCell ref="B73:E73"/>
    <mergeCell ref="B76:K78"/>
    <mergeCell ref="B50:K52"/>
    <mergeCell ref="H58:I60"/>
    <mergeCell ref="H61:I62"/>
    <mergeCell ref="I68:I69"/>
    <mergeCell ref="K68:K69"/>
    <mergeCell ref="B70:E71"/>
    <mergeCell ref="S84:S86"/>
    <mergeCell ref="P64:P66"/>
    <mergeCell ref="G64:G66"/>
    <mergeCell ref="O84:O86"/>
    <mergeCell ref="Q64:R66"/>
    <mergeCell ref="H64:H66"/>
    <mergeCell ref="I64:I66"/>
    <mergeCell ref="K64:K66"/>
    <mergeCell ref="L64:L66"/>
    <mergeCell ref="I71:K71"/>
    <mergeCell ref="T84:T86"/>
    <mergeCell ref="O64:O66"/>
    <mergeCell ref="Q84:R86"/>
    <mergeCell ref="G87:L87"/>
    <mergeCell ref="N87:T87"/>
    <mergeCell ref="S64:S66"/>
    <mergeCell ref="T64:T66"/>
    <mergeCell ref="G67:L67"/>
    <mergeCell ref="N67:T67"/>
    <mergeCell ref="G83:T83"/>
    <mergeCell ref="G84:G86"/>
    <mergeCell ref="H84:H86"/>
    <mergeCell ref="I84:I86"/>
    <mergeCell ref="K84:K86"/>
    <mergeCell ref="L84:L86"/>
    <mergeCell ref="P84:P86"/>
  </mergeCells>
  <printOptions horizontalCentered="1"/>
  <pageMargins left="0.75" right="0.5" top="0.5" bottom="0.4" header="0.54" footer="0.2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H135"/>
  <sheetViews>
    <sheetView showGridLines="0" view="pageBreakPreview" topLeftCell="A9" zoomScaleSheetLayoutView="100" workbookViewId="0">
      <selection activeCell="H135" sqref="H135"/>
    </sheetView>
  </sheetViews>
  <sheetFormatPr defaultColWidth="9" defaultRowHeight="12.75"/>
  <cols>
    <col min="1" max="1" width="9.5" style="837" customWidth="1"/>
    <col min="2" max="2" width="9.875" style="837" customWidth="1"/>
    <col min="3" max="3" width="5.75" style="837" customWidth="1"/>
    <col min="4" max="4" width="52.625" style="837" customWidth="1"/>
    <col min="5" max="5" width="1.625" style="837" customWidth="1"/>
    <col min="6" max="6" width="16.625" style="836" customWidth="1"/>
    <col min="7" max="7" width="1.5" style="837" customWidth="1"/>
    <col min="8" max="8" width="17.625" style="837" customWidth="1"/>
    <col min="9" max="16384" width="9" style="837"/>
  </cols>
  <sheetData>
    <row r="1" spans="2:8" s="828" customFormat="1" ht="27" customHeight="1">
      <c r="B1" s="824"/>
      <c r="C1" s="824"/>
      <c r="D1" s="824"/>
      <c r="E1" s="824"/>
      <c r="F1" s="825"/>
      <c r="G1" s="826"/>
      <c r="H1" s="827"/>
    </row>
    <row r="2" spans="2:8" s="828" customFormat="1" ht="15">
      <c r="B2" s="2946" t="s">
        <v>1883</v>
      </c>
      <c r="C2" s="2946"/>
      <c r="D2" s="2946"/>
      <c r="E2" s="2946"/>
      <c r="F2" s="2946"/>
      <c r="G2" s="2946"/>
      <c r="H2" s="2946"/>
    </row>
    <row r="3" spans="2:8" s="828" customFormat="1" ht="6" customHeight="1">
      <c r="B3" s="824"/>
      <c r="C3" s="824"/>
      <c r="D3" s="824"/>
      <c r="E3" s="824"/>
      <c r="F3" s="825"/>
      <c r="G3" s="826"/>
      <c r="H3" s="827"/>
    </row>
    <row r="4" spans="2:8" s="828" customFormat="1" ht="2.25" hidden="1" customHeight="1">
      <c r="B4" s="824"/>
      <c r="C4" s="824"/>
      <c r="D4" s="824"/>
      <c r="E4" s="824"/>
      <c r="F4" s="825"/>
      <c r="G4" s="826"/>
      <c r="H4" s="827"/>
    </row>
    <row r="5" spans="2:8" s="828" customFormat="1" ht="15">
      <c r="B5" s="3146">
        <v>43396</v>
      </c>
      <c r="C5" s="3146"/>
      <c r="D5" s="824"/>
      <c r="E5" s="824"/>
      <c r="F5" s="825"/>
      <c r="G5" s="826"/>
      <c r="H5" s="829" t="s">
        <v>1966</v>
      </c>
    </row>
    <row r="6" spans="2:8" s="828" customFormat="1" ht="1.5" customHeight="1">
      <c r="B6" s="830"/>
      <c r="C6" s="831"/>
      <c r="D6" s="824"/>
      <c r="E6" s="824"/>
      <c r="F6" s="825"/>
      <c r="G6" s="826"/>
      <c r="H6" s="827"/>
    </row>
    <row r="7" spans="2:8" s="828" customFormat="1" ht="15">
      <c r="B7" s="830" t="s">
        <v>1884</v>
      </c>
      <c r="C7" s="831"/>
      <c r="D7" s="824"/>
      <c r="E7" s="824"/>
      <c r="F7" s="825"/>
      <c r="G7" s="826"/>
      <c r="H7" s="827"/>
    </row>
    <row r="8" spans="2:8" s="828" customFormat="1" ht="15">
      <c r="B8" s="830" t="s">
        <v>1885</v>
      </c>
      <c r="C8" s="831"/>
      <c r="D8" s="824"/>
      <c r="E8" s="824"/>
      <c r="F8" s="825"/>
      <c r="G8" s="826"/>
      <c r="H8" s="827"/>
    </row>
    <row r="9" spans="2:8" s="828" customFormat="1" ht="15">
      <c r="B9" s="830" t="s">
        <v>1886</v>
      </c>
      <c r="C9" s="831"/>
      <c r="D9" s="824"/>
      <c r="E9" s="824"/>
      <c r="F9" s="825"/>
      <c r="G9" s="826"/>
      <c r="H9" s="827"/>
    </row>
    <row r="10" spans="2:8" s="828" customFormat="1" ht="15">
      <c r="B10" s="830" t="s">
        <v>1887</v>
      </c>
      <c r="C10" s="831"/>
      <c r="D10" s="824"/>
      <c r="E10" s="824"/>
      <c r="F10" s="825"/>
      <c r="G10" s="826"/>
      <c r="H10" s="827"/>
    </row>
    <row r="11" spans="2:8" s="828" customFormat="1" ht="14.25" customHeight="1">
      <c r="B11" s="824"/>
      <c r="C11" s="824"/>
      <c r="D11" s="824"/>
      <c r="E11" s="824"/>
      <c r="F11" s="825"/>
      <c r="G11" s="826"/>
      <c r="H11" s="827"/>
    </row>
    <row r="12" spans="2:8" s="833" customFormat="1" ht="13.5" customHeight="1">
      <c r="B12" s="832" t="s">
        <v>1888</v>
      </c>
      <c r="C12" s="3147" t="s">
        <v>1967</v>
      </c>
      <c r="D12" s="3147"/>
      <c r="E12" s="3147"/>
      <c r="F12" s="3147"/>
      <c r="G12" s="3147"/>
      <c r="H12" s="3147"/>
    </row>
    <row r="13" spans="2:8" s="828" customFormat="1" ht="12" customHeight="1">
      <c r="B13" s="824"/>
      <c r="C13" s="824"/>
      <c r="D13" s="824"/>
      <c r="E13" s="824"/>
      <c r="F13" s="825"/>
      <c r="G13" s="826"/>
      <c r="H13" s="834"/>
    </row>
    <row r="14" spans="2:8" s="828" customFormat="1" ht="12.75" customHeight="1">
      <c r="B14" s="835" t="s">
        <v>1889</v>
      </c>
      <c r="C14" s="824"/>
      <c r="D14" s="824"/>
      <c r="E14" s="824"/>
      <c r="F14" s="825"/>
      <c r="G14" s="826"/>
      <c r="H14" s="827"/>
    </row>
    <row r="15" spans="2:8" s="828" customFormat="1" ht="9.75" customHeight="1">
      <c r="B15" s="824"/>
      <c r="C15" s="824"/>
      <c r="D15" s="824"/>
      <c r="E15" s="824"/>
      <c r="F15" s="825"/>
      <c r="G15" s="826"/>
      <c r="H15" s="827"/>
    </row>
    <row r="16" spans="2:8" s="828" customFormat="1" ht="11.25" customHeight="1">
      <c r="B16" s="3148" t="s">
        <v>1973</v>
      </c>
      <c r="C16" s="3148"/>
      <c r="D16" s="3148"/>
      <c r="E16" s="3148"/>
      <c r="F16" s="3148"/>
      <c r="G16" s="3148"/>
      <c r="H16" s="3148"/>
    </row>
    <row r="17" spans="2:8" s="828" customFormat="1" ht="12.75" customHeight="1">
      <c r="B17" s="3148"/>
      <c r="C17" s="3148"/>
      <c r="D17" s="3148"/>
      <c r="E17" s="3148"/>
      <c r="F17" s="3148"/>
      <c r="G17" s="3148"/>
      <c r="H17" s="3148"/>
    </row>
    <row r="18" spans="2:8" s="828" customFormat="1" ht="14.25" customHeight="1">
      <c r="B18" s="3148"/>
      <c r="C18" s="3148"/>
      <c r="D18" s="3148"/>
      <c r="E18" s="3148"/>
      <c r="F18" s="3148"/>
      <c r="G18" s="3148"/>
      <c r="H18" s="3148"/>
    </row>
    <row r="19" spans="2:8">
      <c r="B19" s="1453"/>
      <c r="C19" s="1453"/>
      <c r="D19" s="1453"/>
      <c r="E19" s="1453"/>
      <c r="F19" s="1530"/>
      <c r="H19" s="1530"/>
    </row>
    <row r="20" spans="2:8">
      <c r="B20" s="1453"/>
      <c r="C20" s="1453"/>
      <c r="D20" s="1453"/>
      <c r="E20" s="1453"/>
      <c r="F20" s="3149" t="s">
        <v>1968</v>
      </c>
      <c r="G20" s="3149"/>
      <c r="H20" s="3149"/>
    </row>
    <row r="21" spans="2:8">
      <c r="B21" s="1453"/>
      <c r="C21" s="1453"/>
      <c r="D21" s="1453"/>
      <c r="E21" s="1453"/>
      <c r="F21" s="1539" t="s">
        <v>1969</v>
      </c>
      <c r="H21" s="1540" t="s">
        <v>1969</v>
      </c>
    </row>
    <row r="22" spans="2:8" s="1129" customFormat="1" ht="14.25" customHeight="1">
      <c r="E22" s="1454"/>
      <c r="F22" s="1455" t="s">
        <v>1530</v>
      </c>
      <c r="G22" s="1456"/>
      <c r="H22" s="1457" t="s">
        <v>896</v>
      </c>
    </row>
    <row r="23" spans="2:8" s="1129" customFormat="1" ht="13.5" customHeight="1">
      <c r="D23" s="1458"/>
      <c r="E23" s="1454"/>
      <c r="F23" s="3150" t="s">
        <v>1890</v>
      </c>
      <c r="G23" s="3150"/>
      <c r="H23" s="3150"/>
    </row>
    <row r="24" spans="2:8" s="1129" customFormat="1">
      <c r="B24" s="836" t="s">
        <v>708</v>
      </c>
      <c r="F24" s="1460"/>
      <c r="H24" s="1461"/>
    </row>
    <row r="25" spans="2:8" s="1129" customFormat="1">
      <c r="B25" s="837" t="s">
        <v>709</v>
      </c>
      <c r="E25" s="1459"/>
      <c r="F25" s="1462">
        <v>641.22599999999966</v>
      </c>
      <c r="G25" s="1463"/>
      <c r="H25" s="1464">
        <v>1195</v>
      </c>
    </row>
    <row r="26" spans="2:8" s="1129" customFormat="1">
      <c r="B26" s="837" t="s">
        <v>1451</v>
      </c>
      <c r="E26" s="1459"/>
      <c r="F26" s="1462">
        <v>11103.752</v>
      </c>
      <c r="G26" s="1463"/>
      <c r="H26" s="1464">
        <v>10239.700000000001</v>
      </c>
    </row>
    <row r="27" spans="2:8" s="1129" customFormat="1">
      <c r="B27" s="837" t="s">
        <v>710</v>
      </c>
      <c r="E27" s="1459"/>
      <c r="F27" s="1462">
        <v>7299.1929999999993</v>
      </c>
      <c r="G27" s="1463"/>
      <c r="H27" s="1463">
        <v>8723</v>
      </c>
    </row>
    <row r="28" spans="2:8" s="1129" customFormat="1">
      <c r="B28" s="837" t="s">
        <v>1891</v>
      </c>
      <c r="E28" s="1459"/>
      <c r="F28" s="1462">
        <v>-215.13800000000003</v>
      </c>
      <c r="G28" s="1463"/>
      <c r="H28" s="1464">
        <v>-455</v>
      </c>
    </row>
    <row r="29" spans="2:8" s="1129" customFormat="1">
      <c r="B29" s="837" t="s">
        <v>1452</v>
      </c>
      <c r="E29" s="1459"/>
      <c r="F29" s="1462">
        <v>0</v>
      </c>
      <c r="G29" s="1463"/>
      <c r="H29" s="1464">
        <v>3090</v>
      </c>
    </row>
    <row r="30" spans="2:8" s="1129" customFormat="1">
      <c r="B30" s="837" t="s">
        <v>1453</v>
      </c>
      <c r="E30" s="1459"/>
      <c r="F30" s="1462">
        <v>0</v>
      </c>
      <c r="G30" s="1463"/>
      <c r="H30" s="1464">
        <v>3400</v>
      </c>
    </row>
    <row r="31" spans="2:8" s="1129" customFormat="1">
      <c r="B31" s="837" t="s">
        <v>1926</v>
      </c>
      <c r="E31" s="1459"/>
      <c r="F31" s="1462">
        <v>0</v>
      </c>
      <c r="G31" s="1463"/>
      <c r="H31" s="1464">
        <v>61</v>
      </c>
    </row>
    <row r="32" spans="2:8" s="1129" customFormat="1">
      <c r="B32" s="837" t="s">
        <v>1339</v>
      </c>
      <c r="E32" s="1459"/>
      <c r="F32" s="1462">
        <v>1705</v>
      </c>
      <c r="G32" s="1463"/>
      <c r="H32" s="1464">
        <v>3798</v>
      </c>
    </row>
    <row r="33" spans="2:8" s="1129" customFormat="1">
      <c r="B33" s="837" t="s">
        <v>711</v>
      </c>
      <c r="E33" s="1459"/>
      <c r="F33" s="1462">
        <v>6</v>
      </c>
      <c r="G33" s="1463"/>
      <c r="H33" s="1464">
        <v>310</v>
      </c>
    </row>
    <row r="34" spans="2:8" s="1129" customFormat="1" ht="5.25" customHeight="1">
      <c r="E34" s="1459"/>
      <c r="F34" s="1462"/>
      <c r="G34" s="1463"/>
      <c r="H34" s="1464"/>
    </row>
    <row r="35" spans="2:8" s="1129" customFormat="1" ht="18" customHeight="1">
      <c r="E35" s="1459"/>
      <c r="F35" s="1483">
        <f>SUM(F25:F33)</f>
        <v>20540.032999999999</v>
      </c>
      <c r="G35" s="1463"/>
      <c r="H35" s="1484">
        <f>SUM(H25:H33)</f>
        <v>30361.7</v>
      </c>
    </row>
    <row r="36" spans="2:8" s="1129" customFormat="1">
      <c r="B36" s="838" t="s">
        <v>712</v>
      </c>
      <c r="F36" s="1460"/>
      <c r="G36" s="1461"/>
      <c r="H36" s="1461"/>
    </row>
    <row r="37" spans="2:8" s="1129" customFormat="1">
      <c r="B37" s="839" t="s">
        <v>713</v>
      </c>
      <c r="E37" s="1459"/>
      <c r="F37" s="1462">
        <v>-3295</v>
      </c>
      <c r="G37" s="1461"/>
      <c r="H37" s="1464">
        <v>2206</v>
      </c>
    </row>
    <row r="38" spans="2:8" s="1129" customFormat="1" ht="4.5" customHeight="1">
      <c r="B38" s="1467"/>
      <c r="E38" s="1459"/>
      <c r="F38" s="1462"/>
      <c r="G38" s="1463"/>
      <c r="H38" s="1464"/>
    </row>
    <row r="39" spans="2:8" s="1129" customFormat="1" ht="17.25" customHeight="1">
      <c r="B39" s="841" t="s">
        <v>714</v>
      </c>
      <c r="E39" s="1459"/>
      <c r="F39" s="1468">
        <f>SUM(F25:G37)-F35</f>
        <v>17245.032999999999</v>
      </c>
      <c r="G39" s="1461"/>
      <c r="H39" s="1469">
        <f>SUM(H25:H37)-H35+1</f>
        <v>32568.7</v>
      </c>
    </row>
    <row r="40" spans="2:8" s="1129" customFormat="1">
      <c r="B40" s="837"/>
      <c r="E40" s="1459"/>
      <c r="F40" s="1462"/>
      <c r="G40" s="1461"/>
      <c r="H40" s="1464"/>
    </row>
    <row r="41" spans="2:8" s="1129" customFormat="1">
      <c r="B41" s="841" t="s">
        <v>717</v>
      </c>
      <c r="E41" s="1459"/>
      <c r="F41" s="1462"/>
      <c r="G41" s="1463"/>
      <c r="H41" s="1464"/>
    </row>
    <row r="42" spans="2:8" s="1129" customFormat="1" ht="1.5" customHeight="1">
      <c r="B42" s="842"/>
      <c r="E42" s="1459"/>
      <c r="F42" s="1462"/>
      <c r="G42" s="1463"/>
      <c r="H42" s="1464"/>
    </row>
    <row r="43" spans="2:8" s="1129" customFormat="1" ht="12.75" customHeight="1">
      <c r="B43" s="837" t="s">
        <v>720</v>
      </c>
      <c r="E43" s="1459"/>
      <c r="F43" s="1470">
        <v>2974.6489999999999</v>
      </c>
      <c r="G43" s="1461"/>
      <c r="H43" s="1471">
        <v>4589</v>
      </c>
    </row>
    <row r="44" spans="2:8" s="1129" customFormat="1">
      <c r="B44" s="837" t="s">
        <v>723</v>
      </c>
      <c r="E44" s="1459"/>
      <c r="F44" s="1472">
        <v>386.70400000000001</v>
      </c>
      <c r="G44" s="1461"/>
      <c r="H44" s="1473">
        <v>597</v>
      </c>
    </row>
    <row r="45" spans="2:8" s="1129" customFormat="1">
      <c r="B45" s="837" t="s">
        <v>725</v>
      </c>
      <c r="E45" s="1459"/>
      <c r="F45" s="1472">
        <v>414.68400000000003</v>
      </c>
      <c r="G45" s="1461"/>
      <c r="H45" s="1473">
        <v>567</v>
      </c>
    </row>
    <row r="46" spans="2:8" s="1129" customFormat="1">
      <c r="B46" s="840" t="s">
        <v>728</v>
      </c>
      <c r="E46" s="1459"/>
      <c r="F46" s="1472">
        <v>53.908000000000001</v>
      </c>
      <c r="G46" s="1461"/>
      <c r="H46" s="1473">
        <v>74</v>
      </c>
    </row>
    <row r="47" spans="2:8" s="1129" customFormat="1">
      <c r="B47" s="837" t="s">
        <v>730</v>
      </c>
      <c r="E47" s="1459"/>
      <c r="F47" s="1472">
        <v>189.863</v>
      </c>
      <c r="G47" s="1461"/>
      <c r="H47" s="1473">
        <v>311</v>
      </c>
    </row>
    <row r="48" spans="2:8" s="1129" customFormat="1">
      <c r="B48" s="837" t="s">
        <v>917</v>
      </c>
      <c r="E48" s="1459"/>
      <c r="F48" s="1472">
        <v>286.04700000000003</v>
      </c>
      <c r="G48" s="1461"/>
      <c r="H48" s="1473">
        <v>469</v>
      </c>
    </row>
    <row r="49" spans="2:8" s="1129" customFormat="1">
      <c r="B49" s="837" t="s">
        <v>731</v>
      </c>
      <c r="E49" s="1459"/>
      <c r="F49" s="1472">
        <v>109.22999999999999</v>
      </c>
      <c r="G49" s="1461"/>
      <c r="H49" s="1473">
        <v>299</v>
      </c>
    </row>
    <row r="50" spans="2:8" s="1129" customFormat="1">
      <c r="B50" s="837" t="s">
        <v>724</v>
      </c>
      <c r="E50" s="1459"/>
      <c r="F50" s="1472">
        <v>169.77699999999999</v>
      </c>
      <c r="G50" s="1461"/>
      <c r="H50" s="1473">
        <v>84</v>
      </c>
    </row>
    <row r="51" spans="2:8" s="1129" customFormat="1">
      <c r="B51" s="837" t="s">
        <v>1866</v>
      </c>
      <c r="E51" s="1459"/>
      <c r="F51" s="1472">
        <v>43.996000000000002</v>
      </c>
      <c r="G51" s="1461"/>
      <c r="H51" s="1473">
        <v>53</v>
      </c>
    </row>
    <row r="52" spans="2:8" s="1129" customFormat="1">
      <c r="B52" s="837" t="s">
        <v>732</v>
      </c>
      <c r="E52" s="1459"/>
      <c r="F52" s="1472">
        <v>132.02199999999999</v>
      </c>
      <c r="G52" s="1461"/>
      <c r="H52" s="1473">
        <v>183</v>
      </c>
    </row>
    <row r="53" spans="2:8" s="1129" customFormat="1">
      <c r="B53" s="837" t="s">
        <v>733</v>
      </c>
      <c r="E53" s="1459"/>
      <c r="F53" s="1472">
        <v>39.370999999999995</v>
      </c>
      <c r="G53" s="1461"/>
      <c r="H53" s="1473">
        <v>56</v>
      </c>
    </row>
    <row r="54" spans="2:8" s="1474" customFormat="1" ht="17.25" customHeight="1">
      <c r="B54" s="843" t="s">
        <v>1486</v>
      </c>
      <c r="E54" s="1475"/>
      <c r="F54" s="1531">
        <v>25.204999999999998</v>
      </c>
      <c r="G54" s="1476"/>
      <c r="H54" s="1477">
        <v>423</v>
      </c>
    </row>
    <row r="55" spans="2:8" s="1478" customFormat="1" ht="15.75" customHeight="1">
      <c r="B55" s="844" t="s">
        <v>734</v>
      </c>
      <c r="E55" s="1479"/>
      <c r="F55" s="1480">
        <f>SUM(F43:F54)</f>
        <v>4825.4559999999992</v>
      </c>
      <c r="G55" s="1481"/>
      <c r="H55" s="1482">
        <f>SUM(H43:H54)</f>
        <v>7705</v>
      </c>
    </row>
    <row r="56" spans="2:8" s="1129" customFormat="1" hidden="1">
      <c r="B56" s="837"/>
      <c r="E56" s="1459"/>
      <c r="F56" s="1462"/>
      <c r="G56" s="1461"/>
      <c r="H56" s="1464"/>
    </row>
    <row r="57" spans="2:8" s="1129" customFormat="1" ht="12" customHeight="1">
      <c r="B57" s="836" t="s">
        <v>735</v>
      </c>
      <c r="E57" s="1459"/>
      <c r="F57" s="1483">
        <f>F39-F55</f>
        <v>12419.577000000001</v>
      </c>
      <c r="G57" s="1461"/>
      <c r="H57" s="1484">
        <f>+H39-H55</f>
        <v>24863.7</v>
      </c>
    </row>
    <row r="58" spans="2:8" s="1129" customFormat="1" ht="6" customHeight="1">
      <c r="B58" s="841"/>
      <c r="E58" s="1459"/>
      <c r="F58" s="1462"/>
      <c r="H58" s="1464"/>
    </row>
    <row r="59" spans="2:8" s="1129" customFormat="1" hidden="1">
      <c r="B59" s="840"/>
      <c r="E59" s="1459"/>
      <c r="F59" s="1462"/>
      <c r="G59" s="1466"/>
      <c r="H59" s="1464"/>
    </row>
    <row r="60" spans="2:8" s="1129" customFormat="1" hidden="1">
      <c r="B60" s="840"/>
      <c r="E60" s="1459"/>
      <c r="F60" s="1462"/>
      <c r="G60" s="1463"/>
      <c r="H60" s="1464"/>
    </row>
    <row r="61" spans="2:8" s="1129" customFormat="1">
      <c r="B61" s="840" t="s">
        <v>1972</v>
      </c>
      <c r="E61" s="1459"/>
      <c r="F61" s="1462">
        <v>249</v>
      </c>
      <c r="G61" s="1463"/>
      <c r="H61" s="1464">
        <v>497</v>
      </c>
    </row>
    <row r="62" spans="2:8" s="1129" customFormat="1" ht="13.5" customHeight="1">
      <c r="B62" s="841" t="s">
        <v>739</v>
      </c>
      <c r="E62" s="1459"/>
      <c r="F62" s="1483">
        <f>F57+F60-F61</f>
        <v>12170.577000000001</v>
      </c>
      <c r="G62" s="1461"/>
      <c r="H62" s="1484">
        <f>H57+H60-H61</f>
        <v>24366.7</v>
      </c>
    </row>
    <row r="63" spans="2:8" s="1129" customFormat="1" ht="3" customHeight="1">
      <c r="B63" s="841"/>
      <c r="E63" s="1459"/>
      <c r="F63" s="1462"/>
      <c r="G63" s="1461"/>
      <c r="H63" s="1464"/>
    </row>
    <row r="64" spans="2:8" s="1129" customFormat="1" ht="12.75" customHeight="1">
      <c r="B64" s="840" t="s">
        <v>737</v>
      </c>
      <c r="E64" s="1459"/>
      <c r="F64" s="1462">
        <v>0</v>
      </c>
      <c r="G64" s="1461"/>
      <c r="H64" s="1464">
        <v>0</v>
      </c>
    </row>
    <row r="65" spans="1:8" s="1129" customFormat="1" ht="13.5" customHeight="1" thickBot="1">
      <c r="B65" s="841" t="s">
        <v>1952</v>
      </c>
      <c r="E65" s="1459"/>
      <c r="F65" s="1532">
        <f>+F62-F64</f>
        <v>12170.577000000001</v>
      </c>
      <c r="G65" s="1461"/>
      <c r="H65" s="1533">
        <f>H62-H64</f>
        <v>24366.7</v>
      </c>
    </row>
    <row r="66" spans="1:8" s="1129" customFormat="1" ht="3.75" customHeight="1" thickTop="1">
      <c r="B66" s="841"/>
      <c r="E66" s="1459"/>
      <c r="F66" s="1462"/>
      <c r="G66" s="1461"/>
      <c r="H66" s="1464"/>
    </row>
    <row r="67" spans="1:8" s="1129" customFormat="1" ht="7.5" customHeight="1">
      <c r="B67" s="841"/>
      <c r="E67" s="1459"/>
      <c r="F67" s="1465"/>
      <c r="G67" s="1461"/>
      <c r="H67" s="1464"/>
    </row>
    <row r="68" spans="1:8" s="1478" customFormat="1" ht="15.75" customHeight="1">
      <c r="B68" s="841" t="s">
        <v>1953</v>
      </c>
      <c r="C68" s="857"/>
      <c r="D68" s="1536"/>
      <c r="E68" s="1439"/>
      <c r="F68" s="1254"/>
      <c r="G68" s="856"/>
      <c r="H68" s="1235"/>
    </row>
    <row r="69" spans="1:8" s="1129" customFormat="1" ht="2.25" hidden="1" customHeight="1">
      <c r="B69" s="845"/>
      <c r="C69" s="857"/>
      <c r="D69" s="1536"/>
      <c r="E69" s="1439"/>
      <c r="F69" s="1254"/>
      <c r="G69" s="856"/>
      <c r="H69" s="1235"/>
    </row>
    <row r="70" spans="1:8" s="1129" customFormat="1">
      <c r="B70" s="840" t="s">
        <v>1971</v>
      </c>
      <c r="C70" s="846"/>
      <c r="D70" s="846"/>
      <c r="E70" s="1440"/>
      <c r="F70" s="846"/>
      <c r="G70" s="846"/>
      <c r="H70" s="846"/>
    </row>
    <row r="71" spans="1:8" s="1129" customFormat="1">
      <c r="B71" s="840" t="s">
        <v>747</v>
      </c>
      <c r="C71" s="846"/>
      <c r="D71" s="846"/>
      <c r="E71" s="1442"/>
      <c r="F71" s="1538">
        <v>40</v>
      </c>
      <c r="G71" s="1443"/>
      <c r="H71" s="1444">
        <v>-83</v>
      </c>
    </row>
    <row r="72" spans="1:8" s="1485" customFormat="1" ht="4.5" customHeight="1">
      <c r="A72" s="1441"/>
      <c r="B72" s="846"/>
      <c r="C72" s="846"/>
      <c r="D72" s="846"/>
      <c r="E72" s="846"/>
      <c r="F72" s="1445"/>
      <c r="G72" s="1443"/>
      <c r="H72" s="1446"/>
    </row>
    <row r="73" spans="1:8" s="1485" customFormat="1" ht="13.5" thickBot="1">
      <c r="B73" s="841" t="s">
        <v>1954</v>
      </c>
      <c r="C73" s="1447"/>
      <c r="D73" s="1447"/>
      <c r="E73" s="1447"/>
      <c r="F73" s="1448">
        <f>+F71+F65</f>
        <v>12210.577000000001</v>
      </c>
      <c r="G73" s="1449"/>
      <c r="H73" s="1450">
        <f>+H71+H65</f>
        <v>24283.7</v>
      </c>
    </row>
    <row r="74" spans="1:8" s="1129" customFormat="1" ht="6" customHeight="1" thickTop="1">
      <c r="F74" s="1458"/>
    </row>
    <row r="75" spans="1:8" s="1129" customFormat="1" ht="13.5" customHeight="1">
      <c r="B75" s="841" t="str">
        <f>+IS!A73</f>
        <v>Allocation of net income for the period:</v>
      </c>
      <c r="E75" s="1459"/>
      <c r="F75" s="1462"/>
      <c r="G75" s="1461"/>
      <c r="H75" s="1464"/>
    </row>
    <row r="76" spans="1:8" s="1129" customFormat="1" ht="13.5" customHeight="1">
      <c r="B76" s="851" t="str">
        <f>+IS!A74</f>
        <v>Net income for the period</v>
      </c>
      <c r="E76" s="1459"/>
      <c r="F76" s="1462">
        <v>12171</v>
      </c>
      <c r="G76" s="1461"/>
      <c r="H76" s="1464">
        <v>24366.7</v>
      </c>
    </row>
    <row r="77" spans="1:8" s="1129" customFormat="1" ht="13.5" customHeight="1">
      <c r="B77" s="851" t="str">
        <f>+IS!A75</f>
        <v>Income already paid on units redeemed</v>
      </c>
      <c r="E77" s="1459"/>
      <c r="F77" s="1462">
        <v>-2498</v>
      </c>
      <c r="G77" s="1461"/>
      <c r="H77" s="1464">
        <v>-4395.1998092088161</v>
      </c>
    </row>
    <row r="78" spans="1:8" s="1129" customFormat="1" ht="13.5" customHeight="1" thickBot="1">
      <c r="B78" s="841"/>
      <c r="E78" s="1459"/>
      <c r="F78" s="1532">
        <v>9672.7070000000022</v>
      </c>
      <c r="G78" s="1461"/>
      <c r="H78" s="1532">
        <v>19971.500190791186</v>
      </c>
    </row>
    <row r="79" spans="1:8" s="1129" customFormat="1" ht="13.5" customHeight="1" thickTop="1">
      <c r="B79" s="841" t="str">
        <f>+IS!A73</f>
        <v>Allocation of net income for the period:</v>
      </c>
      <c r="E79" s="1459"/>
      <c r="F79" s="1462"/>
      <c r="G79" s="1461"/>
      <c r="H79" s="1464"/>
    </row>
    <row r="80" spans="1:8" s="1129" customFormat="1" ht="13.5" customHeight="1">
      <c r="B80" s="851" t="str">
        <f>+IS!A78</f>
        <v xml:space="preserve">   -   Relating to capital gains</v>
      </c>
      <c r="E80" s="1459"/>
      <c r="F80" s="1487">
        <v>0</v>
      </c>
      <c r="G80" s="1461"/>
      <c r="H80" s="1471">
        <v>1435.6498064641696</v>
      </c>
    </row>
    <row r="81" spans="1:8" s="1129" customFormat="1" ht="13.5" customHeight="1">
      <c r="B81" s="851" t="str">
        <f>+IS!A79</f>
        <v xml:space="preserve">   -   Excluding capital gains</v>
      </c>
      <c r="E81" s="1459"/>
      <c r="F81" s="1488">
        <f>F83-F80</f>
        <v>9672.7070000000022</v>
      </c>
      <c r="G81" s="1461"/>
      <c r="H81" s="1534">
        <v>18535.750384327017</v>
      </c>
    </row>
    <row r="82" spans="1:8" s="1129" customFormat="1" ht="13.5" customHeight="1">
      <c r="B82" s="841"/>
      <c r="E82" s="1459"/>
      <c r="F82" s="1462"/>
      <c r="G82" s="1461"/>
      <c r="H82" s="1464"/>
    </row>
    <row r="83" spans="1:8" s="1129" customFormat="1" ht="13.5" customHeight="1" thickBot="1">
      <c r="B83" s="841"/>
      <c r="E83" s="1459"/>
      <c r="F83" s="1486">
        <f>F78</f>
        <v>9672.7070000000022</v>
      </c>
      <c r="G83" s="1461"/>
      <c r="H83" s="1486">
        <v>19971.500190791186</v>
      </c>
    </row>
    <row r="84" spans="1:8" s="1129" customFormat="1" ht="6.75" customHeight="1" thickTop="1">
      <c r="B84" s="841"/>
      <c r="E84" s="1459"/>
      <c r="F84" s="1465"/>
      <c r="G84" s="1461"/>
      <c r="H84" s="1465"/>
    </row>
    <row r="85" spans="1:8" s="1129" customFormat="1" ht="24.75" customHeight="1">
      <c r="B85" s="3144" t="s">
        <v>1892</v>
      </c>
      <c r="C85" s="3144"/>
      <c r="D85" s="3144"/>
      <c r="E85" s="3144"/>
      <c r="F85" s="3144"/>
      <c r="G85" s="3144"/>
      <c r="H85" s="3144"/>
    </row>
    <row r="86" spans="1:8" s="847" customFormat="1" ht="0.75" customHeight="1">
      <c r="B86" s="3145"/>
      <c r="C86" s="3145"/>
      <c r="D86" s="3145"/>
      <c r="E86" s="3145"/>
      <c r="F86" s="3145"/>
      <c r="G86" s="3145"/>
      <c r="H86" s="3145"/>
    </row>
    <row r="87" spans="1:8" s="847" customFormat="1" ht="14.25" customHeight="1">
      <c r="B87" s="840" t="s">
        <v>1893</v>
      </c>
      <c r="C87" s="840"/>
      <c r="D87" s="840"/>
      <c r="E87" s="840"/>
      <c r="F87" s="840"/>
      <c r="G87" s="840"/>
      <c r="H87" s="840"/>
    </row>
    <row r="88" spans="1:8" s="847" customFormat="1" ht="3" customHeight="1">
      <c r="B88" s="840"/>
      <c r="C88" s="840"/>
      <c r="D88" s="840"/>
      <c r="E88" s="840"/>
      <c r="F88" s="840"/>
      <c r="G88" s="840"/>
      <c r="H88" s="840"/>
    </row>
    <row r="89" spans="1:8">
      <c r="B89" s="848" t="s">
        <v>1894</v>
      </c>
      <c r="C89" s="1537"/>
      <c r="D89" s="1537"/>
      <c r="E89" s="1537"/>
      <c r="F89" s="1537"/>
      <c r="G89" s="1537"/>
      <c r="H89" s="1537"/>
    </row>
    <row r="90" spans="1:8" ht="15">
      <c r="A90" s="833"/>
      <c r="C90" s="1537"/>
      <c r="D90" s="1537"/>
      <c r="E90" s="1537"/>
      <c r="F90" s="1537"/>
      <c r="G90" s="1537"/>
      <c r="H90" s="1537"/>
    </row>
    <row r="91" spans="1:8" ht="25.5" customHeight="1">
      <c r="A91" s="833"/>
      <c r="C91" s="1537"/>
      <c r="D91" s="1537"/>
      <c r="E91" s="1537"/>
      <c r="F91" s="1537"/>
      <c r="G91" s="1537"/>
      <c r="H91" s="1537"/>
    </row>
    <row r="92" spans="1:8" ht="11.25" customHeight="1">
      <c r="B92" s="849" t="s">
        <v>1896</v>
      </c>
      <c r="C92" s="1537"/>
      <c r="D92" s="1537"/>
      <c r="E92" s="1537"/>
      <c r="F92" s="1537"/>
      <c r="G92" s="1537"/>
      <c r="H92" s="1537"/>
    </row>
    <row r="93" spans="1:8" ht="13.5" customHeight="1">
      <c r="B93" s="850" t="s">
        <v>1895</v>
      </c>
      <c r="C93" s="1489"/>
      <c r="D93" s="1489"/>
      <c r="E93" s="1489"/>
      <c r="F93" s="1489"/>
      <c r="G93" s="1489"/>
      <c r="H93" s="1489"/>
    </row>
    <row r="94" spans="1:8" ht="12.75" customHeight="1">
      <c r="B94" s="1537"/>
      <c r="C94" s="1537"/>
      <c r="D94" s="1451"/>
      <c r="E94" s="1537"/>
      <c r="F94" s="1537"/>
      <c r="G94" s="1537"/>
      <c r="H94" s="1537"/>
    </row>
    <row r="95" spans="1:8" s="1493" customFormat="1">
      <c r="B95" s="1490"/>
      <c r="C95" s="1491"/>
      <c r="D95" s="1491"/>
      <c r="E95" s="1491"/>
      <c r="F95" s="1492"/>
      <c r="H95" s="1492"/>
    </row>
    <row r="96" spans="1:8" s="1493" customFormat="1">
      <c r="F96" s="1494"/>
    </row>
    <row r="97" spans="3:8">
      <c r="C97" s="1493"/>
      <c r="D97" s="1493"/>
      <c r="E97" s="1493"/>
      <c r="F97" s="1494"/>
      <c r="G97" s="1493"/>
      <c r="H97" s="1493"/>
    </row>
    <row r="129" spans="2:8" s="1452" customFormat="1">
      <c r="B129" s="837"/>
      <c r="C129" s="837"/>
      <c r="D129" s="837"/>
      <c r="E129" s="837"/>
      <c r="F129" s="836"/>
      <c r="G129" s="837"/>
      <c r="H129" s="837"/>
    </row>
    <row r="133" spans="2:8" s="1452" customFormat="1">
      <c r="B133" s="837"/>
      <c r="C133" s="837"/>
      <c r="D133" s="837"/>
      <c r="E133" s="837"/>
      <c r="F133" s="836"/>
      <c r="G133" s="837"/>
      <c r="H133" s="837"/>
    </row>
    <row r="134" spans="2:8" s="1452" customFormat="1">
      <c r="B134" s="837"/>
      <c r="C134" s="837"/>
      <c r="D134" s="837"/>
      <c r="E134" s="837"/>
      <c r="F134" s="836"/>
      <c r="G134" s="837"/>
      <c r="H134" s="837"/>
    </row>
    <row r="135" spans="2:8" s="1452" customFormat="1">
      <c r="B135" s="837"/>
      <c r="C135" s="837"/>
      <c r="D135" s="837"/>
      <c r="E135" s="837"/>
      <c r="F135" s="836"/>
      <c r="G135" s="837"/>
      <c r="H135" s="837"/>
    </row>
  </sheetData>
  <mergeCells count="8">
    <mergeCell ref="B85:H85"/>
    <mergeCell ref="B86:H86"/>
    <mergeCell ref="B2:H2"/>
    <mergeCell ref="B5:C5"/>
    <mergeCell ref="C12:H12"/>
    <mergeCell ref="B16:H18"/>
    <mergeCell ref="F20:H20"/>
    <mergeCell ref="F23:H23"/>
  </mergeCells>
  <pageMargins left="0.7" right="0.45" top="0.52" bottom="0.19" header="0.25" footer="0.17"/>
  <pageSetup scale="7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7"/>
  <sheetViews>
    <sheetView showGridLines="0" topLeftCell="A5" zoomScaleNormal="100" workbookViewId="0">
      <selection activeCell="B48" sqref="B48"/>
    </sheetView>
  </sheetViews>
  <sheetFormatPr defaultRowHeight="12.75"/>
  <cols>
    <col min="1" max="1" width="9" style="34"/>
    <col min="2" max="2" width="16.625" style="34" customWidth="1"/>
    <col min="3" max="5" width="12.625" style="33" customWidth="1"/>
    <col min="6" max="6" width="15" style="33" customWidth="1"/>
    <col min="7" max="7" width="17.375" style="33" customWidth="1"/>
    <col min="8" max="8" width="11.875" style="34" customWidth="1"/>
    <col min="9" max="9" width="15.625" style="34" customWidth="1"/>
    <col min="10" max="10" width="13.5" style="34" customWidth="1"/>
    <col min="11" max="11" width="11.625" style="34" customWidth="1"/>
    <col min="12" max="12" width="9" style="34" customWidth="1"/>
    <col min="13" max="13" width="18.75" style="34" customWidth="1"/>
    <col min="14" max="14" width="9" style="34"/>
    <col min="15" max="257" width="8" style="34"/>
    <col min="258" max="258" width="14.625" style="34" bestFit="1" customWidth="1"/>
    <col min="259" max="261" width="11.125" style="34" customWidth="1"/>
    <col min="262" max="262" width="13.25" style="34" customWidth="1"/>
    <col min="263" max="263" width="15.25" style="34" customWidth="1"/>
    <col min="264" max="264" width="10.5" style="34" customWidth="1"/>
    <col min="265" max="265" width="13.75" style="34" bestFit="1" customWidth="1"/>
    <col min="266" max="266" width="11.875" style="34" customWidth="1"/>
    <col min="267" max="267" width="10.25" style="34" customWidth="1"/>
    <col min="268" max="268" width="8" style="34" customWidth="1"/>
    <col min="269" max="269" width="16.5" style="34" customWidth="1"/>
    <col min="270" max="513" width="8" style="34"/>
    <col min="514" max="514" width="14.625" style="34" bestFit="1" customWidth="1"/>
    <col min="515" max="517" width="11.125" style="34" customWidth="1"/>
    <col min="518" max="518" width="13.25" style="34" customWidth="1"/>
    <col min="519" max="519" width="15.25" style="34" customWidth="1"/>
    <col min="520" max="520" width="10.5" style="34" customWidth="1"/>
    <col min="521" max="521" width="13.75" style="34" bestFit="1" customWidth="1"/>
    <col min="522" max="522" width="11.875" style="34" customWidth="1"/>
    <col min="523" max="523" width="10.25" style="34" customWidth="1"/>
    <col min="524" max="524" width="8" style="34" customWidth="1"/>
    <col min="525" max="525" width="16.5" style="34" customWidth="1"/>
    <col min="526" max="769" width="8" style="34"/>
    <col min="770" max="770" width="14.625" style="34" bestFit="1" customWidth="1"/>
    <col min="771" max="773" width="11.125" style="34" customWidth="1"/>
    <col min="774" max="774" width="13.25" style="34" customWidth="1"/>
    <col min="775" max="775" width="15.25" style="34" customWidth="1"/>
    <col min="776" max="776" width="10.5" style="34" customWidth="1"/>
    <col min="777" max="777" width="13.75" style="34" bestFit="1" customWidth="1"/>
    <col min="778" max="778" width="11.875" style="34" customWidth="1"/>
    <col min="779" max="779" width="10.25" style="34" customWidth="1"/>
    <col min="780" max="780" width="8" style="34" customWidth="1"/>
    <col min="781" max="781" width="16.5" style="34" customWidth="1"/>
    <col min="782" max="1025" width="9" style="34"/>
    <col min="1026" max="1026" width="14.625" style="34" bestFit="1" customWidth="1"/>
    <col min="1027" max="1029" width="11.125" style="34" customWidth="1"/>
    <col min="1030" max="1030" width="13.25" style="34" customWidth="1"/>
    <col min="1031" max="1031" width="15.25" style="34" customWidth="1"/>
    <col min="1032" max="1032" width="10.5" style="34" customWidth="1"/>
    <col min="1033" max="1033" width="13.75" style="34" bestFit="1" customWidth="1"/>
    <col min="1034" max="1034" width="11.875" style="34" customWidth="1"/>
    <col min="1035" max="1035" width="10.25" style="34" customWidth="1"/>
    <col min="1036" max="1036" width="8" style="34" customWidth="1"/>
    <col min="1037" max="1037" width="16.5" style="34" customWidth="1"/>
    <col min="1038" max="1281" width="8" style="34"/>
    <col min="1282" max="1282" width="14.625" style="34" bestFit="1" customWidth="1"/>
    <col min="1283" max="1285" width="11.125" style="34" customWidth="1"/>
    <col min="1286" max="1286" width="13.25" style="34" customWidth="1"/>
    <col min="1287" max="1287" width="15.25" style="34" customWidth="1"/>
    <col min="1288" max="1288" width="10.5" style="34" customWidth="1"/>
    <col min="1289" max="1289" width="13.75" style="34" bestFit="1" customWidth="1"/>
    <col min="1290" max="1290" width="11.875" style="34" customWidth="1"/>
    <col min="1291" max="1291" width="10.25" style="34" customWidth="1"/>
    <col min="1292" max="1292" width="8" style="34" customWidth="1"/>
    <col min="1293" max="1293" width="16.5" style="34" customWidth="1"/>
    <col min="1294" max="1537" width="8" style="34"/>
    <col min="1538" max="1538" width="14.625" style="34" bestFit="1" customWidth="1"/>
    <col min="1539" max="1541" width="11.125" style="34" customWidth="1"/>
    <col min="1542" max="1542" width="13.25" style="34" customWidth="1"/>
    <col min="1543" max="1543" width="15.25" style="34" customWidth="1"/>
    <col min="1544" max="1544" width="10.5" style="34" customWidth="1"/>
    <col min="1545" max="1545" width="13.75" style="34" bestFit="1" customWidth="1"/>
    <col min="1546" max="1546" width="11.875" style="34" customWidth="1"/>
    <col min="1547" max="1547" width="10.25" style="34" customWidth="1"/>
    <col min="1548" max="1548" width="8" style="34" customWidth="1"/>
    <col min="1549" max="1549" width="16.5" style="34" customWidth="1"/>
    <col min="1550" max="1793" width="8" style="34"/>
    <col min="1794" max="1794" width="14.625" style="34" bestFit="1" customWidth="1"/>
    <col min="1795" max="1797" width="11.125" style="34" customWidth="1"/>
    <col min="1798" max="1798" width="13.25" style="34" customWidth="1"/>
    <col min="1799" max="1799" width="15.25" style="34" customWidth="1"/>
    <col min="1800" max="1800" width="10.5" style="34" customWidth="1"/>
    <col min="1801" max="1801" width="13.75" style="34" bestFit="1" customWidth="1"/>
    <col min="1802" max="1802" width="11.875" style="34" customWidth="1"/>
    <col min="1803" max="1803" width="10.25" style="34" customWidth="1"/>
    <col min="1804" max="1804" width="8" style="34" customWidth="1"/>
    <col min="1805" max="1805" width="16.5" style="34" customWidth="1"/>
    <col min="1806" max="2049" width="9" style="34"/>
    <col min="2050" max="2050" width="14.625" style="34" bestFit="1" customWidth="1"/>
    <col min="2051" max="2053" width="11.125" style="34" customWidth="1"/>
    <col min="2054" max="2054" width="13.25" style="34" customWidth="1"/>
    <col min="2055" max="2055" width="15.25" style="34" customWidth="1"/>
    <col min="2056" max="2056" width="10.5" style="34" customWidth="1"/>
    <col min="2057" max="2057" width="13.75" style="34" bestFit="1" customWidth="1"/>
    <col min="2058" max="2058" width="11.875" style="34" customWidth="1"/>
    <col min="2059" max="2059" width="10.25" style="34" customWidth="1"/>
    <col min="2060" max="2060" width="8" style="34" customWidth="1"/>
    <col min="2061" max="2061" width="16.5" style="34" customWidth="1"/>
    <col min="2062" max="2305" width="8" style="34"/>
    <col min="2306" max="2306" width="14.625" style="34" bestFit="1" customWidth="1"/>
    <col min="2307" max="2309" width="11.125" style="34" customWidth="1"/>
    <col min="2310" max="2310" width="13.25" style="34" customWidth="1"/>
    <col min="2311" max="2311" width="15.25" style="34" customWidth="1"/>
    <col min="2312" max="2312" width="10.5" style="34" customWidth="1"/>
    <col min="2313" max="2313" width="13.75" style="34" bestFit="1" customWidth="1"/>
    <col min="2314" max="2314" width="11.875" style="34" customWidth="1"/>
    <col min="2315" max="2315" width="10.25" style="34" customWidth="1"/>
    <col min="2316" max="2316" width="8" style="34" customWidth="1"/>
    <col min="2317" max="2317" width="16.5" style="34" customWidth="1"/>
    <col min="2318" max="2561" width="8" style="34"/>
    <col min="2562" max="2562" width="14.625" style="34" bestFit="1" customWidth="1"/>
    <col min="2563" max="2565" width="11.125" style="34" customWidth="1"/>
    <col min="2566" max="2566" width="13.25" style="34" customWidth="1"/>
    <col min="2567" max="2567" width="15.25" style="34" customWidth="1"/>
    <col min="2568" max="2568" width="10.5" style="34" customWidth="1"/>
    <col min="2569" max="2569" width="13.75" style="34" bestFit="1" customWidth="1"/>
    <col min="2570" max="2570" width="11.875" style="34" customWidth="1"/>
    <col min="2571" max="2571" width="10.25" style="34" customWidth="1"/>
    <col min="2572" max="2572" width="8" style="34" customWidth="1"/>
    <col min="2573" max="2573" width="16.5" style="34" customWidth="1"/>
    <col min="2574" max="2817" width="8" style="34"/>
    <col min="2818" max="2818" width="14.625" style="34" bestFit="1" customWidth="1"/>
    <col min="2819" max="2821" width="11.125" style="34" customWidth="1"/>
    <col min="2822" max="2822" width="13.25" style="34" customWidth="1"/>
    <col min="2823" max="2823" width="15.25" style="34" customWidth="1"/>
    <col min="2824" max="2824" width="10.5" style="34" customWidth="1"/>
    <col min="2825" max="2825" width="13.75" style="34" bestFit="1" customWidth="1"/>
    <col min="2826" max="2826" width="11.875" style="34" customWidth="1"/>
    <col min="2827" max="2827" width="10.25" style="34" customWidth="1"/>
    <col min="2828" max="2828" width="8" style="34" customWidth="1"/>
    <col min="2829" max="2829" width="16.5" style="34" customWidth="1"/>
    <col min="2830" max="3073" width="9" style="34"/>
    <col min="3074" max="3074" width="14.625" style="34" bestFit="1" customWidth="1"/>
    <col min="3075" max="3077" width="11.125" style="34" customWidth="1"/>
    <col min="3078" max="3078" width="13.25" style="34" customWidth="1"/>
    <col min="3079" max="3079" width="15.25" style="34" customWidth="1"/>
    <col min="3080" max="3080" width="10.5" style="34" customWidth="1"/>
    <col min="3081" max="3081" width="13.75" style="34" bestFit="1" customWidth="1"/>
    <col min="3082" max="3082" width="11.875" style="34" customWidth="1"/>
    <col min="3083" max="3083" width="10.25" style="34" customWidth="1"/>
    <col min="3084" max="3084" width="8" style="34" customWidth="1"/>
    <col min="3085" max="3085" width="16.5" style="34" customWidth="1"/>
    <col min="3086" max="3329" width="8" style="34"/>
    <col min="3330" max="3330" width="14.625" style="34" bestFit="1" customWidth="1"/>
    <col min="3331" max="3333" width="11.125" style="34" customWidth="1"/>
    <col min="3334" max="3334" width="13.25" style="34" customWidth="1"/>
    <col min="3335" max="3335" width="15.25" style="34" customWidth="1"/>
    <col min="3336" max="3336" width="10.5" style="34" customWidth="1"/>
    <col min="3337" max="3337" width="13.75" style="34" bestFit="1" customWidth="1"/>
    <col min="3338" max="3338" width="11.875" style="34" customWidth="1"/>
    <col min="3339" max="3339" width="10.25" style="34" customWidth="1"/>
    <col min="3340" max="3340" width="8" style="34" customWidth="1"/>
    <col min="3341" max="3341" width="16.5" style="34" customWidth="1"/>
    <col min="3342" max="3585" width="8" style="34"/>
    <col min="3586" max="3586" width="14.625" style="34" bestFit="1" customWidth="1"/>
    <col min="3587" max="3589" width="11.125" style="34" customWidth="1"/>
    <col min="3590" max="3590" width="13.25" style="34" customWidth="1"/>
    <col min="3591" max="3591" width="15.25" style="34" customWidth="1"/>
    <col min="3592" max="3592" width="10.5" style="34" customWidth="1"/>
    <col min="3593" max="3593" width="13.75" style="34" bestFit="1" customWidth="1"/>
    <col min="3594" max="3594" width="11.875" style="34" customWidth="1"/>
    <col min="3595" max="3595" width="10.25" style="34" customWidth="1"/>
    <col min="3596" max="3596" width="8" style="34" customWidth="1"/>
    <col min="3597" max="3597" width="16.5" style="34" customWidth="1"/>
    <col min="3598" max="3841" width="8" style="34"/>
    <col min="3842" max="3842" width="14.625" style="34" bestFit="1" customWidth="1"/>
    <col min="3843" max="3845" width="11.125" style="34" customWidth="1"/>
    <col min="3846" max="3846" width="13.25" style="34" customWidth="1"/>
    <col min="3847" max="3847" width="15.25" style="34" customWidth="1"/>
    <col min="3848" max="3848" width="10.5" style="34" customWidth="1"/>
    <col min="3849" max="3849" width="13.75" style="34" bestFit="1" customWidth="1"/>
    <col min="3850" max="3850" width="11.875" style="34" customWidth="1"/>
    <col min="3851" max="3851" width="10.25" style="34" customWidth="1"/>
    <col min="3852" max="3852" width="8" style="34" customWidth="1"/>
    <col min="3853" max="3853" width="16.5" style="34" customWidth="1"/>
    <col min="3854" max="4097" width="9" style="34"/>
    <col min="4098" max="4098" width="14.625" style="34" bestFit="1" customWidth="1"/>
    <col min="4099" max="4101" width="11.125" style="34" customWidth="1"/>
    <col min="4102" max="4102" width="13.25" style="34" customWidth="1"/>
    <col min="4103" max="4103" width="15.25" style="34" customWidth="1"/>
    <col min="4104" max="4104" width="10.5" style="34" customWidth="1"/>
    <col min="4105" max="4105" width="13.75" style="34" bestFit="1" customWidth="1"/>
    <col min="4106" max="4106" width="11.875" style="34" customWidth="1"/>
    <col min="4107" max="4107" width="10.25" style="34" customWidth="1"/>
    <col min="4108" max="4108" width="8" style="34" customWidth="1"/>
    <col min="4109" max="4109" width="16.5" style="34" customWidth="1"/>
    <col min="4110" max="4353" width="8" style="34"/>
    <col min="4354" max="4354" width="14.625" style="34" bestFit="1" customWidth="1"/>
    <col min="4355" max="4357" width="11.125" style="34" customWidth="1"/>
    <col min="4358" max="4358" width="13.25" style="34" customWidth="1"/>
    <col min="4359" max="4359" width="15.25" style="34" customWidth="1"/>
    <col min="4360" max="4360" width="10.5" style="34" customWidth="1"/>
    <col min="4361" max="4361" width="13.75" style="34" bestFit="1" customWidth="1"/>
    <col min="4362" max="4362" width="11.875" style="34" customWidth="1"/>
    <col min="4363" max="4363" width="10.25" style="34" customWidth="1"/>
    <col min="4364" max="4364" width="8" style="34" customWidth="1"/>
    <col min="4365" max="4365" width="16.5" style="34" customWidth="1"/>
    <col min="4366" max="4609" width="8" style="34"/>
    <col min="4610" max="4610" width="14.625" style="34" bestFit="1" customWidth="1"/>
    <col min="4611" max="4613" width="11.125" style="34" customWidth="1"/>
    <col min="4614" max="4614" width="13.25" style="34" customWidth="1"/>
    <col min="4615" max="4615" width="15.25" style="34" customWidth="1"/>
    <col min="4616" max="4616" width="10.5" style="34" customWidth="1"/>
    <col min="4617" max="4617" width="13.75" style="34" bestFit="1" customWidth="1"/>
    <col min="4618" max="4618" width="11.875" style="34" customWidth="1"/>
    <col min="4619" max="4619" width="10.25" style="34" customWidth="1"/>
    <col min="4620" max="4620" width="8" style="34" customWidth="1"/>
    <col min="4621" max="4621" width="16.5" style="34" customWidth="1"/>
    <col min="4622" max="4865" width="8" style="34"/>
    <col min="4866" max="4866" width="14.625" style="34" bestFit="1" customWidth="1"/>
    <col min="4867" max="4869" width="11.125" style="34" customWidth="1"/>
    <col min="4870" max="4870" width="13.25" style="34" customWidth="1"/>
    <col min="4871" max="4871" width="15.25" style="34" customWidth="1"/>
    <col min="4872" max="4872" width="10.5" style="34" customWidth="1"/>
    <col min="4873" max="4873" width="13.75" style="34" bestFit="1" customWidth="1"/>
    <col min="4874" max="4874" width="11.875" style="34" customWidth="1"/>
    <col min="4875" max="4875" width="10.25" style="34" customWidth="1"/>
    <col min="4876" max="4876" width="8" style="34" customWidth="1"/>
    <col min="4877" max="4877" width="16.5" style="34" customWidth="1"/>
    <col min="4878" max="5121" width="9" style="34"/>
    <col min="5122" max="5122" width="14.625" style="34" bestFit="1" customWidth="1"/>
    <col min="5123" max="5125" width="11.125" style="34" customWidth="1"/>
    <col min="5126" max="5126" width="13.25" style="34" customWidth="1"/>
    <col min="5127" max="5127" width="15.25" style="34" customWidth="1"/>
    <col min="5128" max="5128" width="10.5" style="34" customWidth="1"/>
    <col min="5129" max="5129" width="13.75" style="34" bestFit="1" customWidth="1"/>
    <col min="5130" max="5130" width="11.875" style="34" customWidth="1"/>
    <col min="5131" max="5131" width="10.25" style="34" customWidth="1"/>
    <col min="5132" max="5132" width="8" style="34" customWidth="1"/>
    <col min="5133" max="5133" width="16.5" style="34" customWidth="1"/>
    <col min="5134" max="5377" width="8" style="34"/>
    <col min="5378" max="5378" width="14.625" style="34" bestFit="1" customWidth="1"/>
    <col min="5379" max="5381" width="11.125" style="34" customWidth="1"/>
    <col min="5382" max="5382" width="13.25" style="34" customWidth="1"/>
    <col min="5383" max="5383" width="15.25" style="34" customWidth="1"/>
    <col min="5384" max="5384" width="10.5" style="34" customWidth="1"/>
    <col min="5385" max="5385" width="13.75" style="34" bestFit="1" customWidth="1"/>
    <col min="5386" max="5386" width="11.875" style="34" customWidth="1"/>
    <col min="5387" max="5387" width="10.25" style="34" customWidth="1"/>
    <col min="5388" max="5388" width="8" style="34" customWidth="1"/>
    <col min="5389" max="5389" width="16.5" style="34" customWidth="1"/>
    <col min="5390" max="5633" width="8" style="34"/>
    <col min="5634" max="5634" width="14.625" style="34" bestFit="1" customWidth="1"/>
    <col min="5635" max="5637" width="11.125" style="34" customWidth="1"/>
    <col min="5638" max="5638" width="13.25" style="34" customWidth="1"/>
    <col min="5639" max="5639" width="15.25" style="34" customWidth="1"/>
    <col min="5640" max="5640" width="10.5" style="34" customWidth="1"/>
    <col min="5641" max="5641" width="13.75" style="34" bestFit="1" customWidth="1"/>
    <col min="5642" max="5642" width="11.875" style="34" customWidth="1"/>
    <col min="5643" max="5643" width="10.25" style="34" customWidth="1"/>
    <col min="5644" max="5644" width="8" style="34" customWidth="1"/>
    <col min="5645" max="5645" width="16.5" style="34" customWidth="1"/>
    <col min="5646" max="5889" width="8" style="34"/>
    <col min="5890" max="5890" width="14.625" style="34" bestFit="1" customWidth="1"/>
    <col min="5891" max="5893" width="11.125" style="34" customWidth="1"/>
    <col min="5894" max="5894" width="13.25" style="34" customWidth="1"/>
    <col min="5895" max="5895" width="15.25" style="34" customWidth="1"/>
    <col min="5896" max="5896" width="10.5" style="34" customWidth="1"/>
    <col min="5897" max="5897" width="13.75" style="34" bestFit="1" customWidth="1"/>
    <col min="5898" max="5898" width="11.875" style="34" customWidth="1"/>
    <col min="5899" max="5899" width="10.25" style="34" customWidth="1"/>
    <col min="5900" max="5900" width="8" style="34" customWidth="1"/>
    <col min="5901" max="5901" width="16.5" style="34" customWidth="1"/>
    <col min="5902" max="6145" width="9" style="34"/>
    <col min="6146" max="6146" width="14.625" style="34" bestFit="1" customWidth="1"/>
    <col min="6147" max="6149" width="11.125" style="34" customWidth="1"/>
    <col min="6150" max="6150" width="13.25" style="34" customWidth="1"/>
    <col min="6151" max="6151" width="15.25" style="34" customWidth="1"/>
    <col min="6152" max="6152" width="10.5" style="34" customWidth="1"/>
    <col min="6153" max="6153" width="13.75" style="34" bestFit="1" customWidth="1"/>
    <col min="6154" max="6154" width="11.875" style="34" customWidth="1"/>
    <col min="6155" max="6155" width="10.25" style="34" customWidth="1"/>
    <col min="6156" max="6156" width="8" style="34" customWidth="1"/>
    <col min="6157" max="6157" width="16.5" style="34" customWidth="1"/>
    <col min="6158" max="6401" width="8" style="34"/>
    <col min="6402" max="6402" width="14.625" style="34" bestFit="1" customWidth="1"/>
    <col min="6403" max="6405" width="11.125" style="34" customWidth="1"/>
    <col min="6406" max="6406" width="13.25" style="34" customWidth="1"/>
    <col min="6407" max="6407" width="15.25" style="34" customWidth="1"/>
    <col min="6408" max="6408" width="10.5" style="34" customWidth="1"/>
    <col min="6409" max="6409" width="13.75" style="34" bestFit="1" customWidth="1"/>
    <col min="6410" max="6410" width="11.875" style="34" customWidth="1"/>
    <col min="6411" max="6411" width="10.25" style="34" customWidth="1"/>
    <col min="6412" max="6412" width="8" style="34" customWidth="1"/>
    <col min="6413" max="6413" width="16.5" style="34" customWidth="1"/>
    <col min="6414" max="6657" width="8" style="34"/>
    <col min="6658" max="6658" width="14.625" style="34" bestFit="1" customWidth="1"/>
    <col min="6659" max="6661" width="11.125" style="34" customWidth="1"/>
    <col min="6662" max="6662" width="13.25" style="34" customWidth="1"/>
    <col min="6663" max="6663" width="15.25" style="34" customWidth="1"/>
    <col min="6664" max="6664" width="10.5" style="34" customWidth="1"/>
    <col min="6665" max="6665" width="13.75" style="34" bestFit="1" customWidth="1"/>
    <col min="6666" max="6666" width="11.875" style="34" customWidth="1"/>
    <col min="6667" max="6667" width="10.25" style="34" customWidth="1"/>
    <col min="6668" max="6668" width="8" style="34" customWidth="1"/>
    <col min="6669" max="6669" width="16.5" style="34" customWidth="1"/>
    <col min="6670" max="6913" width="8" style="34"/>
    <col min="6914" max="6914" width="14.625" style="34" bestFit="1" customWidth="1"/>
    <col min="6915" max="6917" width="11.125" style="34" customWidth="1"/>
    <col min="6918" max="6918" width="13.25" style="34" customWidth="1"/>
    <col min="6919" max="6919" width="15.25" style="34" customWidth="1"/>
    <col min="6920" max="6920" width="10.5" style="34" customWidth="1"/>
    <col min="6921" max="6921" width="13.75" style="34" bestFit="1" customWidth="1"/>
    <col min="6922" max="6922" width="11.875" style="34" customWidth="1"/>
    <col min="6923" max="6923" width="10.25" style="34" customWidth="1"/>
    <col min="6924" max="6924" width="8" style="34" customWidth="1"/>
    <col min="6925" max="6925" width="16.5" style="34" customWidth="1"/>
    <col min="6926" max="7169" width="9" style="34"/>
    <col min="7170" max="7170" width="14.625" style="34" bestFit="1" customWidth="1"/>
    <col min="7171" max="7173" width="11.125" style="34" customWidth="1"/>
    <col min="7174" max="7174" width="13.25" style="34" customWidth="1"/>
    <col min="7175" max="7175" width="15.25" style="34" customWidth="1"/>
    <col min="7176" max="7176" width="10.5" style="34" customWidth="1"/>
    <col min="7177" max="7177" width="13.75" style="34" bestFit="1" customWidth="1"/>
    <col min="7178" max="7178" width="11.875" style="34" customWidth="1"/>
    <col min="7179" max="7179" width="10.25" style="34" customWidth="1"/>
    <col min="7180" max="7180" width="8" style="34" customWidth="1"/>
    <col min="7181" max="7181" width="16.5" style="34" customWidth="1"/>
    <col min="7182" max="7425" width="8" style="34"/>
    <col min="7426" max="7426" width="14.625" style="34" bestFit="1" customWidth="1"/>
    <col min="7427" max="7429" width="11.125" style="34" customWidth="1"/>
    <col min="7430" max="7430" width="13.25" style="34" customWidth="1"/>
    <col min="7431" max="7431" width="15.25" style="34" customWidth="1"/>
    <col min="7432" max="7432" width="10.5" style="34" customWidth="1"/>
    <col min="7433" max="7433" width="13.75" style="34" bestFit="1" customWidth="1"/>
    <col min="7434" max="7434" width="11.875" style="34" customWidth="1"/>
    <col min="7435" max="7435" width="10.25" style="34" customWidth="1"/>
    <col min="7436" max="7436" width="8" style="34" customWidth="1"/>
    <col min="7437" max="7437" width="16.5" style="34" customWidth="1"/>
    <col min="7438" max="7681" width="8" style="34"/>
    <col min="7682" max="7682" width="14.625" style="34" bestFit="1" customWidth="1"/>
    <col min="7683" max="7685" width="11.125" style="34" customWidth="1"/>
    <col min="7686" max="7686" width="13.25" style="34" customWidth="1"/>
    <col min="7687" max="7687" width="15.25" style="34" customWidth="1"/>
    <col min="7688" max="7688" width="10.5" style="34" customWidth="1"/>
    <col min="7689" max="7689" width="13.75" style="34" bestFit="1" customWidth="1"/>
    <col min="7690" max="7690" width="11.875" style="34" customWidth="1"/>
    <col min="7691" max="7691" width="10.25" style="34" customWidth="1"/>
    <col min="7692" max="7692" width="8" style="34" customWidth="1"/>
    <col min="7693" max="7693" width="16.5" style="34" customWidth="1"/>
    <col min="7694" max="7937" width="8" style="34"/>
    <col min="7938" max="7938" width="14.625" style="34" bestFit="1" customWidth="1"/>
    <col min="7939" max="7941" width="11.125" style="34" customWidth="1"/>
    <col min="7942" max="7942" width="13.25" style="34" customWidth="1"/>
    <col min="7943" max="7943" width="15.25" style="34" customWidth="1"/>
    <col min="7944" max="7944" width="10.5" style="34" customWidth="1"/>
    <col min="7945" max="7945" width="13.75" style="34" bestFit="1" customWidth="1"/>
    <col min="7946" max="7946" width="11.875" style="34" customWidth="1"/>
    <col min="7947" max="7947" width="10.25" style="34" customWidth="1"/>
    <col min="7948" max="7948" width="8" style="34" customWidth="1"/>
    <col min="7949" max="7949" width="16.5" style="34" customWidth="1"/>
    <col min="7950" max="8193" width="9" style="34"/>
    <col min="8194" max="8194" width="14.625" style="34" bestFit="1" customWidth="1"/>
    <col min="8195" max="8197" width="11.125" style="34" customWidth="1"/>
    <col min="8198" max="8198" width="13.25" style="34" customWidth="1"/>
    <col min="8199" max="8199" width="15.25" style="34" customWidth="1"/>
    <col min="8200" max="8200" width="10.5" style="34" customWidth="1"/>
    <col min="8201" max="8201" width="13.75" style="34" bestFit="1" customWidth="1"/>
    <col min="8202" max="8202" width="11.875" style="34" customWidth="1"/>
    <col min="8203" max="8203" width="10.25" style="34" customWidth="1"/>
    <col min="8204" max="8204" width="8" style="34" customWidth="1"/>
    <col min="8205" max="8205" width="16.5" style="34" customWidth="1"/>
    <col min="8206" max="8449" width="8" style="34"/>
    <col min="8450" max="8450" width="14.625" style="34" bestFit="1" customWidth="1"/>
    <col min="8451" max="8453" width="11.125" style="34" customWidth="1"/>
    <col min="8454" max="8454" width="13.25" style="34" customWidth="1"/>
    <col min="8455" max="8455" width="15.25" style="34" customWidth="1"/>
    <col min="8456" max="8456" width="10.5" style="34" customWidth="1"/>
    <col min="8457" max="8457" width="13.75" style="34" bestFit="1" customWidth="1"/>
    <col min="8458" max="8458" width="11.875" style="34" customWidth="1"/>
    <col min="8459" max="8459" width="10.25" style="34" customWidth="1"/>
    <col min="8460" max="8460" width="8" style="34" customWidth="1"/>
    <col min="8461" max="8461" width="16.5" style="34" customWidth="1"/>
    <col min="8462" max="8705" width="8" style="34"/>
    <col min="8706" max="8706" width="14.625" style="34" bestFit="1" customWidth="1"/>
    <col min="8707" max="8709" width="11.125" style="34" customWidth="1"/>
    <col min="8710" max="8710" width="13.25" style="34" customWidth="1"/>
    <col min="8711" max="8711" width="15.25" style="34" customWidth="1"/>
    <col min="8712" max="8712" width="10.5" style="34" customWidth="1"/>
    <col min="8713" max="8713" width="13.75" style="34" bestFit="1" customWidth="1"/>
    <col min="8714" max="8714" width="11.875" style="34" customWidth="1"/>
    <col min="8715" max="8715" width="10.25" style="34" customWidth="1"/>
    <col min="8716" max="8716" width="8" style="34" customWidth="1"/>
    <col min="8717" max="8717" width="16.5" style="34" customWidth="1"/>
    <col min="8718" max="8961" width="8" style="34"/>
    <col min="8962" max="8962" width="14.625" style="34" bestFit="1" customWidth="1"/>
    <col min="8963" max="8965" width="11.125" style="34" customWidth="1"/>
    <col min="8966" max="8966" width="13.25" style="34" customWidth="1"/>
    <col min="8967" max="8967" width="15.25" style="34" customWidth="1"/>
    <col min="8968" max="8968" width="10.5" style="34" customWidth="1"/>
    <col min="8969" max="8969" width="13.75" style="34" bestFit="1" customWidth="1"/>
    <col min="8970" max="8970" width="11.875" style="34" customWidth="1"/>
    <col min="8971" max="8971" width="10.25" style="34" customWidth="1"/>
    <col min="8972" max="8972" width="8" style="34" customWidth="1"/>
    <col min="8973" max="8973" width="16.5" style="34" customWidth="1"/>
    <col min="8974" max="9217" width="9" style="34"/>
    <col min="9218" max="9218" width="14.625" style="34" bestFit="1" customWidth="1"/>
    <col min="9219" max="9221" width="11.125" style="34" customWidth="1"/>
    <col min="9222" max="9222" width="13.25" style="34" customWidth="1"/>
    <col min="9223" max="9223" width="15.25" style="34" customWidth="1"/>
    <col min="9224" max="9224" width="10.5" style="34" customWidth="1"/>
    <col min="9225" max="9225" width="13.75" style="34" bestFit="1" customWidth="1"/>
    <col min="9226" max="9226" width="11.875" style="34" customWidth="1"/>
    <col min="9227" max="9227" width="10.25" style="34" customWidth="1"/>
    <col min="9228" max="9228" width="8" style="34" customWidth="1"/>
    <col min="9229" max="9229" width="16.5" style="34" customWidth="1"/>
    <col min="9230" max="9473" width="8" style="34"/>
    <col min="9474" max="9474" width="14.625" style="34" bestFit="1" customWidth="1"/>
    <col min="9475" max="9477" width="11.125" style="34" customWidth="1"/>
    <col min="9478" max="9478" width="13.25" style="34" customWidth="1"/>
    <col min="9479" max="9479" width="15.25" style="34" customWidth="1"/>
    <col min="9480" max="9480" width="10.5" style="34" customWidth="1"/>
    <col min="9481" max="9481" width="13.75" style="34" bestFit="1" customWidth="1"/>
    <col min="9482" max="9482" width="11.875" style="34" customWidth="1"/>
    <col min="9483" max="9483" width="10.25" style="34" customWidth="1"/>
    <col min="9484" max="9484" width="8" style="34" customWidth="1"/>
    <col min="9485" max="9485" width="16.5" style="34" customWidth="1"/>
    <col min="9486" max="9729" width="8" style="34"/>
    <col min="9730" max="9730" width="14.625" style="34" bestFit="1" customWidth="1"/>
    <col min="9731" max="9733" width="11.125" style="34" customWidth="1"/>
    <col min="9734" max="9734" width="13.25" style="34" customWidth="1"/>
    <col min="9735" max="9735" width="15.25" style="34" customWidth="1"/>
    <col min="9736" max="9736" width="10.5" style="34" customWidth="1"/>
    <col min="9737" max="9737" width="13.75" style="34" bestFit="1" customWidth="1"/>
    <col min="9738" max="9738" width="11.875" style="34" customWidth="1"/>
    <col min="9739" max="9739" width="10.25" style="34" customWidth="1"/>
    <col min="9740" max="9740" width="8" style="34" customWidth="1"/>
    <col min="9741" max="9741" width="16.5" style="34" customWidth="1"/>
    <col min="9742" max="9985" width="8" style="34"/>
    <col min="9986" max="9986" width="14.625" style="34" bestFit="1" customWidth="1"/>
    <col min="9987" max="9989" width="11.125" style="34" customWidth="1"/>
    <col min="9990" max="9990" width="13.25" style="34" customWidth="1"/>
    <col min="9991" max="9991" width="15.25" style="34" customWidth="1"/>
    <col min="9992" max="9992" width="10.5" style="34" customWidth="1"/>
    <col min="9993" max="9993" width="13.75" style="34" bestFit="1" customWidth="1"/>
    <col min="9994" max="9994" width="11.875" style="34" customWidth="1"/>
    <col min="9995" max="9995" width="10.25" style="34" customWidth="1"/>
    <col min="9996" max="9996" width="8" style="34" customWidth="1"/>
    <col min="9997" max="9997" width="16.5" style="34" customWidth="1"/>
    <col min="9998" max="10241" width="9" style="34"/>
    <col min="10242" max="10242" width="14.625" style="34" bestFit="1" customWidth="1"/>
    <col min="10243" max="10245" width="11.125" style="34" customWidth="1"/>
    <col min="10246" max="10246" width="13.25" style="34" customWidth="1"/>
    <col min="10247" max="10247" width="15.25" style="34" customWidth="1"/>
    <col min="10248" max="10248" width="10.5" style="34" customWidth="1"/>
    <col min="10249" max="10249" width="13.75" style="34" bestFit="1" customWidth="1"/>
    <col min="10250" max="10250" width="11.875" style="34" customWidth="1"/>
    <col min="10251" max="10251" width="10.25" style="34" customWidth="1"/>
    <col min="10252" max="10252" width="8" style="34" customWidth="1"/>
    <col min="10253" max="10253" width="16.5" style="34" customWidth="1"/>
    <col min="10254" max="10497" width="8" style="34"/>
    <col min="10498" max="10498" width="14.625" style="34" bestFit="1" customWidth="1"/>
    <col min="10499" max="10501" width="11.125" style="34" customWidth="1"/>
    <col min="10502" max="10502" width="13.25" style="34" customWidth="1"/>
    <col min="10503" max="10503" width="15.25" style="34" customWidth="1"/>
    <col min="10504" max="10504" width="10.5" style="34" customWidth="1"/>
    <col min="10505" max="10505" width="13.75" style="34" bestFit="1" customWidth="1"/>
    <col min="10506" max="10506" width="11.875" style="34" customWidth="1"/>
    <col min="10507" max="10507" width="10.25" style="34" customWidth="1"/>
    <col min="10508" max="10508" width="8" style="34" customWidth="1"/>
    <col min="10509" max="10509" width="16.5" style="34" customWidth="1"/>
    <col min="10510" max="10753" width="8" style="34"/>
    <col min="10754" max="10754" width="14.625" style="34" bestFit="1" customWidth="1"/>
    <col min="10755" max="10757" width="11.125" style="34" customWidth="1"/>
    <col min="10758" max="10758" width="13.25" style="34" customWidth="1"/>
    <col min="10759" max="10759" width="15.25" style="34" customWidth="1"/>
    <col min="10760" max="10760" width="10.5" style="34" customWidth="1"/>
    <col min="10761" max="10761" width="13.75" style="34" bestFit="1" customWidth="1"/>
    <col min="10762" max="10762" width="11.875" style="34" customWidth="1"/>
    <col min="10763" max="10763" width="10.25" style="34" customWidth="1"/>
    <col min="10764" max="10764" width="8" style="34" customWidth="1"/>
    <col min="10765" max="10765" width="16.5" style="34" customWidth="1"/>
    <col min="10766" max="11009" width="8" style="34"/>
    <col min="11010" max="11010" width="14.625" style="34" bestFit="1" customWidth="1"/>
    <col min="11011" max="11013" width="11.125" style="34" customWidth="1"/>
    <col min="11014" max="11014" width="13.25" style="34" customWidth="1"/>
    <col min="11015" max="11015" width="15.25" style="34" customWidth="1"/>
    <col min="11016" max="11016" width="10.5" style="34" customWidth="1"/>
    <col min="11017" max="11017" width="13.75" style="34" bestFit="1" customWidth="1"/>
    <col min="11018" max="11018" width="11.875" style="34" customWidth="1"/>
    <col min="11019" max="11019" width="10.25" style="34" customWidth="1"/>
    <col min="11020" max="11020" width="8" style="34" customWidth="1"/>
    <col min="11021" max="11021" width="16.5" style="34" customWidth="1"/>
    <col min="11022" max="11265" width="9" style="34"/>
    <col min="11266" max="11266" width="14.625" style="34" bestFit="1" customWidth="1"/>
    <col min="11267" max="11269" width="11.125" style="34" customWidth="1"/>
    <col min="11270" max="11270" width="13.25" style="34" customWidth="1"/>
    <col min="11271" max="11271" width="15.25" style="34" customWidth="1"/>
    <col min="11272" max="11272" width="10.5" style="34" customWidth="1"/>
    <col min="11273" max="11273" width="13.75" style="34" bestFit="1" customWidth="1"/>
    <col min="11274" max="11274" width="11.875" style="34" customWidth="1"/>
    <col min="11275" max="11275" width="10.25" style="34" customWidth="1"/>
    <col min="11276" max="11276" width="8" style="34" customWidth="1"/>
    <col min="11277" max="11277" width="16.5" style="34" customWidth="1"/>
    <col min="11278" max="11521" width="8" style="34"/>
    <col min="11522" max="11522" width="14.625" style="34" bestFit="1" customWidth="1"/>
    <col min="11523" max="11525" width="11.125" style="34" customWidth="1"/>
    <col min="11526" max="11526" width="13.25" style="34" customWidth="1"/>
    <col min="11527" max="11527" width="15.25" style="34" customWidth="1"/>
    <col min="11528" max="11528" width="10.5" style="34" customWidth="1"/>
    <col min="11529" max="11529" width="13.75" style="34" bestFit="1" customWidth="1"/>
    <col min="11530" max="11530" width="11.875" style="34" customWidth="1"/>
    <col min="11531" max="11531" width="10.25" style="34" customWidth="1"/>
    <col min="11532" max="11532" width="8" style="34" customWidth="1"/>
    <col min="11533" max="11533" width="16.5" style="34" customWidth="1"/>
    <col min="11534" max="11777" width="8" style="34"/>
    <col min="11778" max="11778" width="14.625" style="34" bestFit="1" customWidth="1"/>
    <col min="11779" max="11781" width="11.125" style="34" customWidth="1"/>
    <col min="11782" max="11782" width="13.25" style="34" customWidth="1"/>
    <col min="11783" max="11783" width="15.25" style="34" customWidth="1"/>
    <col min="11784" max="11784" width="10.5" style="34" customWidth="1"/>
    <col min="11785" max="11785" width="13.75" style="34" bestFit="1" customWidth="1"/>
    <col min="11786" max="11786" width="11.875" style="34" customWidth="1"/>
    <col min="11787" max="11787" width="10.25" style="34" customWidth="1"/>
    <col min="11788" max="11788" width="8" style="34" customWidth="1"/>
    <col min="11789" max="11789" width="16.5" style="34" customWidth="1"/>
    <col min="11790" max="12033" width="8" style="34"/>
    <col min="12034" max="12034" width="14.625" style="34" bestFit="1" customWidth="1"/>
    <col min="12035" max="12037" width="11.125" style="34" customWidth="1"/>
    <col min="12038" max="12038" width="13.25" style="34" customWidth="1"/>
    <col min="12039" max="12039" width="15.25" style="34" customWidth="1"/>
    <col min="12040" max="12040" width="10.5" style="34" customWidth="1"/>
    <col min="12041" max="12041" width="13.75" style="34" bestFit="1" customWidth="1"/>
    <col min="12042" max="12042" width="11.875" style="34" customWidth="1"/>
    <col min="12043" max="12043" width="10.25" style="34" customWidth="1"/>
    <col min="12044" max="12044" width="8" style="34" customWidth="1"/>
    <col min="12045" max="12045" width="16.5" style="34" customWidth="1"/>
    <col min="12046" max="12289" width="9" style="34"/>
    <col min="12290" max="12290" width="14.625" style="34" bestFit="1" customWidth="1"/>
    <col min="12291" max="12293" width="11.125" style="34" customWidth="1"/>
    <col min="12294" max="12294" width="13.25" style="34" customWidth="1"/>
    <col min="12295" max="12295" width="15.25" style="34" customWidth="1"/>
    <col min="12296" max="12296" width="10.5" style="34" customWidth="1"/>
    <col min="12297" max="12297" width="13.75" style="34" bestFit="1" customWidth="1"/>
    <col min="12298" max="12298" width="11.875" style="34" customWidth="1"/>
    <col min="12299" max="12299" width="10.25" style="34" customWidth="1"/>
    <col min="12300" max="12300" width="8" style="34" customWidth="1"/>
    <col min="12301" max="12301" width="16.5" style="34" customWidth="1"/>
    <col min="12302" max="12545" width="8" style="34"/>
    <col min="12546" max="12546" width="14.625" style="34" bestFit="1" customWidth="1"/>
    <col min="12547" max="12549" width="11.125" style="34" customWidth="1"/>
    <col min="12550" max="12550" width="13.25" style="34" customWidth="1"/>
    <col min="12551" max="12551" width="15.25" style="34" customWidth="1"/>
    <col min="12552" max="12552" width="10.5" style="34" customWidth="1"/>
    <col min="12553" max="12553" width="13.75" style="34" bestFit="1" customWidth="1"/>
    <col min="12554" max="12554" width="11.875" style="34" customWidth="1"/>
    <col min="12555" max="12555" width="10.25" style="34" customWidth="1"/>
    <col min="12556" max="12556" width="8" style="34" customWidth="1"/>
    <col min="12557" max="12557" width="16.5" style="34" customWidth="1"/>
    <col min="12558" max="12801" width="8" style="34"/>
    <col min="12802" max="12802" width="14.625" style="34" bestFit="1" customWidth="1"/>
    <col min="12803" max="12805" width="11.125" style="34" customWidth="1"/>
    <col min="12806" max="12806" width="13.25" style="34" customWidth="1"/>
    <col min="12807" max="12807" width="15.25" style="34" customWidth="1"/>
    <col min="12808" max="12808" width="10.5" style="34" customWidth="1"/>
    <col min="12809" max="12809" width="13.75" style="34" bestFit="1" customWidth="1"/>
    <col min="12810" max="12810" width="11.875" style="34" customWidth="1"/>
    <col min="12811" max="12811" width="10.25" style="34" customWidth="1"/>
    <col min="12812" max="12812" width="8" style="34" customWidth="1"/>
    <col min="12813" max="12813" width="16.5" style="34" customWidth="1"/>
    <col min="12814" max="13057" width="8" style="34"/>
    <col min="13058" max="13058" width="14.625" style="34" bestFit="1" customWidth="1"/>
    <col min="13059" max="13061" width="11.125" style="34" customWidth="1"/>
    <col min="13062" max="13062" width="13.25" style="34" customWidth="1"/>
    <col min="13063" max="13063" width="15.25" style="34" customWidth="1"/>
    <col min="13064" max="13064" width="10.5" style="34" customWidth="1"/>
    <col min="13065" max="13065" width="13.75" style="34" bestFit="1" customWidth="1"/>
    <col min="13066" max="13066" width="11.875" style="34" customWidth="1"/>
    <col min="13067" max="13067" width="10.25" style="34" customWidth="1"/>
    <col min="13068" max="13068" width="8" style="34" customWidth="1"/>
    <col min="13069" max="13069" width="16.5" style="34" customWidth="1"/>
    <col min="13070" max="13313" width="9" style="34"/>
    <col min="13314" max="13314" width="14.625" style="34" bestFit="1" customWidth="1"/>
    <col min="13315" max="13317" width="11.125" style="34" customWidth="1"/>
    <col min="13318" max="13318" width="13.25" style="34" customWidth="1"/>
    <col min="13319" max="13319" width="15.25" style="34" customWidth="1"/>
    <col min="13320" max="13320" width="10.5" style="34" customWidth="1"/>
    <col min="13321" max="13321" width="13.75" style="34" bestFit="1" customWidth="1"/>
    <col min="13322" max="13322" width="11.875" style="34" customWidth="1"/>
    <col min="13323" max="13323" width="10.25" style="34" customWidth="1"/>
    <col min="13324" max="13324" width="8" style="34" customWidth="1"/>
    <col min="13325" max="13325" width="16.5" style="34" customWidth="1"/>
    <col min="13326" max="13569" width="8" style="34"/>
    <col min="13570" max="13570" width="14.625" style="34" bestFit="1" customWidth="1"/>
    <col min="13571" max="13573" width="11.125" style="34" customWidth="1"/>
    <col min="13574" max="13574" width="13.25" style="34" customWidth="1"/>
    <col min="13575" max="13575" width="15.25" style="34" customWidth="1"/>
    <col min="13576" max="13576" width="10.5" style="34" customWidth="1"/>
    <col min="13577" max="13577" width="13.75" style="34" bestFit="1" customWidth="1"/>
    <col min="13578" max="13578" width="11.875" style="34" customWidth="1"/>
    <col min="13579" max="13579" width="10.25" style="34" customWidth="1"/>
    <col min="13580" max="13580" width="8" style="34" customWidth="1"/>
    <col min="13581" max="13581" width="16.5" style="34" customWidth="1"/>
    <col min="13582" max="13825" width="8" style="34"/>
    <col min="13826" max="13826" width="14.625" style="34" bestFit="1" customWidth="1"/>
    <col min="13827" max="13829" width="11.125" style="34" customWidth="1"/>
    <col min="13830" max="13830" width="13.25" style="34" customWidth="1"/>
    <col min="13831" max="13831" width="15.25" style="34" customWidth="1"/>
    <col min="13832" max="13832" width="10.5" style="34" customWidth="1"/>
    <col min="13833" max="13833" width="13.75" style="34" bestFit="1" customWidth="1"/>
    <col min="13834" max="13834" width="11.875" style="34" customWidth="1"/>
    <col min="13835" max="13835" width="10.25" style="34" customWidth="1"/>
    <col min="13836" max="13836" width="8" style="34" customWidth="1"/>
    <col min="13837" max="13837" width="16.5" style="34" customWidth="1"/>
    <col min="13838" max="14081" width="8" style="34"/>
    <col min="14082" max="14082" width="14.625" style="34" bestFit="1" customWidth="1"/>
    <col min="14083" max="14085" width="11.125" style="34" customWidth="1"/>
    <col min="14086" max="14086" width="13.25" style="34" customWidth="1"/>
    <col min="14087" max="14087" width="15.25" style="34" customWidth="1"/>
    <col min="14088" max="14088" width="10.5" style="34" customWidth="1"/>
    <col min="14089" max="14089" width="13.75" style="34" bestFit="1" customWidth="1"/>
    <col min="14090" max="14090" width="11.875" style="34" customWidth="1"/>
    <col min="14091" max="14091" width="10.25" style="34" customWidth="1"/>
    <col min="14092" max="14092" width="8" style="34" customWidth="1"/>
    <col min="14093" max="14093" width="16.5" style="34" customWidth="1"/>
    <col min="14094" max="14337" width="9" style="34"/>
    <col min="14338" max="14338" width="14.625" style="34" bestFit="1" customWidth="1"/>
    <col min="14339" max="14341" width="11.125" style="34" customWidth="1"/>
    <col min="14342" max="14342" width="13.25" style="34" customWidth="1"/>
    <col min="14343" max="14343" width="15.25" style="34" customWidth="1"/>
    <col min="14344" max="14344" width="10.5" style="34" customWidth="1"/>
    <col min="14345" max="14345" width="13.75" style="34" bestFit="1" customWidth="1"/>
    <col min="14346" max="14346" width="11.875" style="34" customWidth="1"/>
    <col min="14347" max="14347" width="10.25" style="34" customWidth="1"/>
    <col min="14348" max="14348" width="8" style="34" customWidth="1"/>
    <col min="14349" max="14349" width="16.5" style="34" customWidth="1"/>
    <col min="14350" max="14593" width="8" style="34"/>
    <col min="14594" max="14594" width="14.625" style="34" bestFit="1" customWidth="1"/>
    <col min="14595" max="14597" width="11.125" style="34" customWidth="1"/>
    <col min="14598" max="14598" width="13.25" style="34" customWidth="1"/>
    <col min="14599" max="14599" width="15.25" style="34" customWidth="1"/>
    <col min="14600" max="14600" width="10.5" style="34" customWidth="1"/>
    <col min="14601" max="14601" width="13.75" style="34" bestFit="1" customWidth="1"/>
    <col min="14602" max="14602" width="11.875" style="34" customWidth="1"/>
    <col min="14603" max="14603" width="10.25" style="34" customWidth="1"/>
    <col min="14604" max="14604" width="8" style="34" customWidth="1"/>
    <col min="14605" max="14605" width="16.5" style="34" customWidth="1"/>
    <col min="14606" max="14849" width="8" style="34"/>
    <col min="14850" max="14850" width="14.625" style="34" bestFit="1" customWidth="1"/>
    <col min="14851" max="14853" width="11.125" style="34" customWidth="1"/>
    <col min="14854" max="14854" width="13.25" style="34" customWidth="1"/>
    <col min="14855" max="14855" width="15.25" style="34" customWidth="1"/>
    <col min="14856" max="14856" width="10.5" style="34" customWidth="1"/>
    <col min="14857" max="14857" width="13.75" style="34" bestFit="1" customWidth="1"/>
    <col min="14858" max="14858" width="11.875" style="34" customWidth="1"/>
    <col min="14859" max="14859" width="10.25" style="34" customWidth="1"/>
    <col min="14860" max="14860" width="8" style="34" customWidth="1"/>
    <col min="14861" max="14861" width="16.5" style="34" customWidth="1"/>
    <col min="14862" max="15105" width="8" style="34"/>
    <col min="15106" max="15106" width="14.625" style="34" bestFit="1" customWidth="1"/>
    <col min="15107" max="15109" width="11.125" style="34" customWidth="1"/>
    <col min="15110" max="15110" width="13.25" style="34" customWidth="1"/>
    <col min="15111" max="15111" width="15.25" style="34" customWidth="1"/>
    <col min="15112" max="15112" width="10.5" style="34" customWidth="1"/>
    <col min="15113" max="15113" width="13.75" style="34" bestFit="1" customWidth="1"/>
    <col min="15114" max="15114" width="11.875" style="34" customWidth="1"/>
    <col min="15115" max="15115" width="10.25" style="34" customWidth="1"/>
    <col min="15116" max="15116" width="8" style="34" customWidth="1"/>
    <col min="15117" max="15117" width="16.5" style="34" customWidth="1"/>
    <col min="15118" max="15361" width="9" style="34"/>
    <col min="15362" max="15362" width="14.625" style="34" bestFit="1" customWidth="1"/>
    <col min="15363" max="15365" width="11.125" style="34" customWidth="1"/>
    <col min="15366" max="15366" width="13.25" style="34" customWidth="1"/>
    <col min="15367" max="15367" width="15.25" style="34" customWidth="1"/>
    <col min="15368" max="15368" width="10.5" style="34" customWidth="1"/>
    <col min="15369" max="15369" width="13.75" style="34" bestFit="1" customWidth="1"/>
    <col min="15370" max="15370" width="11.875" style="34" customWidth="1"/>
    <col min="15371" max="15371" width="10.25" style="34" customWidth="1"/>
    <col min="15372" max="15372" width="8" style="34" customWidth="1"/>
    <col min="15373" max="15373" width="16.5" style="34" customWidth="1"/>
    <col min="15374" max="15617" width="8" style="34"/>
    <col min="15618" max="15618" width="14.625" style="34" bestFit="1" customWidth="1"/>
    <col min="15619" max="15621" width="11.125" style="34" customWidth="1"/>
    <col min="15622" max="15622" width="13.25" style="34" customWidth="1"/>
    <col min="15623" max="15623" width="15.25" style="34" customWidth="1"/>
    <col min="15624" max="15624" width="10.5" style="34" customWidth="1"/>
    <col min="15625" max="15625" width="13.75" style="34" bestFit="1" customWidth="1"/>
    <col min="15626" max="15626" width="11.875" style="34" customWidth="1"/>
    <col min="15627" max="15627" width="10.25" style="34" customWidth="1"/>
    <col min="15628" max="15628" width="8" style="34" customWidth="1"/>
    <col min="15629" max="15629" width="16.5" style="34" customWidth="1"/>
    <col min="15630" max="15873" width="8" style="34"/>
    <col min="15874" max="15874" width="14.625" style="34" bestFit="1" customWidth="1"/>
    <col min="15875" max="15877" width="11.125" style="34" customWidth="1"/>
    <col min="15878" max="15878" width="13.25" style="34" customWidth="1"/>
    <col min="15879" max="15879" width="15.25" style="34" customWidth="1"/>
    <col min="15880" max="15880" width="10.5" style="34" customWidth="1"/>
    <col min="15881" max="15881" width="13.75" style="34" bestFit="1" customWidth="1"/>
    <col min="15882" max="15882" width="11.875" style="34" customWidth="1"/>
    <col min="15883" max="15883" width="10.25" style="34" customWidth="1"/>
    <col min="15884" max="15884" width="8" style="34" customWidth="1"/>
    <col min="15885" max="15885" width="16.5" style="34" customWidth="1"/>
    <col min="15886" max="16129" width="8" style="34"/>
    <col min="16130" max="16130" width="14.625" style="34" bestFit="1" customWidth="1"/>
    <col min="16131" max="16133" width="11.125" style="34" customWidth="1"/>
    <col min="16134" max="16134" width="13.25" style="34" customWidth="1"/>
    <col min="16135" max="16135" width="15.25" style="34" customWidth="1"/>
    <col min="16136" max="16136" width="10.5" style="34" customWidth="1"/>
    <col min="16137" max="16137" width="13.75" style="34" bestFit="1" customWidth="1"/>
    <col min="16138" max="16138" width="11.875" style="34" customWidth="1"/>
    <col min="16139" max="16139" width="10.25" style="34" customWidth="1"/>
    <col min="16140" max="16140" width="8" style="34" customWidth="1"/>
    <col min="16141" max="16141" width="16.5" style="34" customWidth="1"/>
    <col min="16142" max="16384" width="9" style="34"/>
  </cols>
  <sheetData>
    <row r="2" spans="2:8">
      <c r="B2" s="32" t="s">
        <v>1343</v>
      </c>
    </row>
    <row r="4" spans="2:8">
      <c r="B4" s="34" t="s">
        <v>1344</v>
      </c>
      <c r="C4" s="35">
        <v>51475</v>
      </c>
    </row>
    <row r="5" spans="2:8">
      <c r="B5" s="34" t="s">
        <v>1345</v>
      </c>
      <c r="C5" s="36">
        <v>0</v>
      </c>
      <c r="D5" s="37"/>
    </row>
    <row r="6" spans="2:8" ht="13.5" thickBot="1">
      <c r="B6" s="32" t="s">
        <v>1346</v>
      </c>
      <c r="C6" s="38">
        <f>SUM(C4:C5)</f>
        <v>51475</v>
      </c>
    </row>
    <row r="7" spans="2:8" ht="13.5" thickTop="1">
      <c r="F7" s="39" t="s">
        <v>1347</v>
      </c>
    </row>
    <row r="8" spans="2:8">
      <c r="F8" s="40" t="s">
        <v>1348</v>
      </c>
      <c r="G8" s="41">
        <v>0</v>
      </c>
    </row>
    <row r="9" spans="2:8" ht="13.5" thickBot="1">
      <c r="B9" s="39" t="s">
        <v>1349</v>
      </c>
    </row>
    <row r="10" spans="2:8" ht="13.5" thickBot="1">
      <c r="C10" s="42" t="s">
        <v>1350</v>
      </c>
      <c r="D10" s="42" t="s">
        <v>762</v>
      </c>
      <c r="E10" s="42" t="s">
        <v>1351</v>
      </c>
      <c r="F10" s="42" t="s">
        <v>1442</v>
      </c>
      <c r="G10" s="42" t="s">
        <v>1352</v>
      </c>
      <c r="H10" s="33"/>
    </row>
    <row r="11" spans="2:8" s="43" customFormat="1" ht="5.0999999999999996" customHeight="1"/>
    <row r="12" spans="2:8">
      <c r="B12" s="34" t="s">
        <v>1004</v>
      </c>
      <c r="C12" s="44">
        <v>258</v>
      </c>
      <c r="D12" s="44">
        <f>C12</f>
        <v>258</v>
      </c>
      <c r="E12" s="44">
        <v>0</v>
      </c>
      <c r="F12" s="44">
        <v>0</v>
      </c>
      <c r="G12" s="44">
        <f>C12-D12+E12-F12</f>
        <v>0</v>
      </c>
    </row>
    <row r="13" spans="2:8">
      <c r="B13" s="34" t="s">
        <v>1353</v>
      </c>
      <c r="C13" s="44">
        <v>32554.985062780357</v>
      </c>
      <c r="D13" s="44">
        <v>0</v>
      </c>
      <c r="E13" s="44">
        <f>'5.2.1'!J20+'5.3.1'!J32</f>
        <v>1537.0389999999902</v>
      </c>
      <c r="F13" s="44" t="e">
        <f>M27</f>
        <v>#REF!</v>
      </c>
      <c r="G13" s="44" t="e">
        <f>C13-D13+E13-F13</f>
        <v>#REF!</v>
      </c>
    </row>
    <row r="14" spans="2:8">
      <c r="B14" s="34" t="s">
        <v>1354</v>
      </c>
      <c r="C14" s="44">
        <v>0</v>
      </c>
      <c r="D14" s="44">
        <v>0</v>
      </c>
      <c r="E14" s="44">
        <f>'5.1'!L32</f>
        <v>-1.5049999999973807</v>
      </c>
      <c r="F14" s="44">
        <v>0</v>
      </c>
      <c r="G14" s="44">
        <f>ROUND(C14-D14+E14-F14,0)</f>
        <v>-2</v>
      </c>
    </row>
    <row r="15" spans="2:8">
      <c r="C15" s="45">
        <f>SUM(C12:C14)</f>
        <v>32812.985062780353</v>
      </c>
      <c r="D15" s="45">
        <f>SUM(D12:D14)</f>
        <v>258</v>
      </c>
      <c r="E15" s="45">
        <f>SUM(E12:E14)</f>
        <v>1535.5339999999928</v>
      </c>
      <c r="F15" s="45" t="e">
        <f>SUM(F12:F14)</f>
        <v>#REF!</v>
      </c>
      <c r="G15" s="46" t="e">
        <f>SUM(G12:G14)</f>
        <v>#REF!</v>
      </c>
    </row>
    <row r="16" spans="2:8">
      <c r="C16" s="45"/>
      <c r="D16" s="45"/>
      <c r="E16" s="45"/>
      <c r="F16" s="45"/>
      <c r="G16" s="47"/>
    </row>
    <row r="17" spans="2:13" ht="13.5" thickBot="1">
      <c r="C17" s="45"/>
      <c r="D17" s="45"/>
      <c r="E17" s="34"/>
      <c r="F17" s="48" t="s">
        <v>1355</v>
      </c>
      <c r="G17" s="49" t="e">
        <f>G15+G8-G8</f>
        <v>#REF!</v>
      </c>
    </row>
    <row r="18" spans="2:13" ht="13.5" thickTop="1"/>
    <row r="19" spans="2:13" ht="13.5" thickBot="1">
      <c r="B19" s="50" t="s">
        <v>1356</v>
      </c>
      <c r="C19" s="34"/>
      <c r="D19" s="34"/>
      <c r="E19" s="34"/>
      <c r="F19" s="34"/>
      <c r="G19" s="34"/>
    </row>
    <row r="20" spans="2:13" s="43" customFormat="1" ht="13.5" thickBot="1">
      <c r="B20" s="42" t="s">
        <v>1357</v>
      </c>
      <c r="C20" s="51" t="s">
        <v>1358</v>
      </c>
      <c r="D20" s="51" t="s">
        <v>1359</v>
      </c>
      <c r="E20" s="51" t="s">
        <v>1360</v>
      </c>
      <c r="F20" s="51" t="s">
        <v>1348</v>
      </c>
      <c r="G20" s="51" t="s">
        <v>1361</v>
      </c>
      <c r="H20" s="42" t="s">
        <v>1362</v>
      </c>
      <c r="I20" s="42" t="s">
        <v>1363</v>
      </c>
      <c r="J20" s="42" t="s">
        <v>1364</v>
      </c>
      <c r="K20" s="51" t="s">
        <v>1365</v>
      </c>
      <c r="L20" s="42" t="s">
        <v>1366</v>
      </c>
      <c r="M20" s="42" t="s">
        <v>1367</v>
      </c>
    </row>
    <row r="21" spans="2:13" s="54" customFormat="1">
      <c r="B21" s="52"/>
      <c r="C21" s="3151" t="s">
        <v>1368</v>
      </c>
      <c r="D21" s="3152"/>
      <c r="E21" s="3152"/>
      <c r="F21" s="3152"/>
      <c r="G21" s="3153"/>
      <c r="H21" s="52"/>
      <c r="I21" s="52"/>
      <c r="J21" s="52"/>
      <c r="K21" s="53" t="s">
        <v>1368</v>
      </c>
      <c r="L21" s="52"/>
      <c r="M21" s="52"/>
    </row>
    <row r="22" spans="2:13" s="43" customFormat="1" ht="5.0999999999999996" customHeight="1"/>
    <row r="23" spans="2:13">
      <c r="B23" s="55">
        <v>2013</v>
      </c>
      <c r="C23" s="44">
        <v>0</v>
      </c>
      <c r="D23" s="44">
        <v>5981</v>
      </c>
      <c r="E23" s="44">
        <v>0</v>
      </c>
      <c r="F23" s="44">
        <f>C23+D23-E23</f>
        <v>5981</v>
      </c>
      <c r="G23" s="44">
        <v>30151</v>
      </c>
      <c r="H23" s="44">
        <f>G23-(+J23)</f>
        <v>30151</v>
      </c>
      <c r="I23" s="56">
        <f>IFERROR(H23/F23,0)</f>
        <v>5.041130245778298</v>
      </c>
      <c r="J23" s="44">
        <v>0</v>
      </c>
      <c r="K23" s="44">
        <v>223</v>
      </c>
      <c r="L23" s="44">
        <f>SUM(J23:K23)</f>
        <v>223</v>
      </c>
      <c r="M23" s="57">
        <f>+L23</f>
        <v>223</v>
      </c>
    </row>
    <row r="24" spans="2:13">
      <c r="B24" s="55">
        <v>2014</v>
      </c>
      <c r="C24" s="44">
        <f>F23</f>
        <v>5981</v>
      </c>
      <c r="D24" s="44">
        <v>0</v>
      </c>
      <c r="E24" s="44">
        <v>0</v>
      </c>
      <c r="F24" s="44">
        <f>C24+D24-E24</f>
        <v>5981</v>
      </c>
      <c r="G24" s="44">
        <v>30362</v>
      </c>
      <c r="H24" s="44">
        <f>G24-(M23+J24)</f>
        <v>30139</v>
      </c>
      <c r="I24" s="56">
        <f>IFERROR(H24/F24,0)</f>
        <v>5.0391238923256978</v>
      </c>
      <c r="J24" s="44">
        <f>-M23*E24/F23</f>
        <v>0</v>
      </c>
      <c r="K24" s="44">
        <v>-73</v>
      </c>
      <c r="L24" s="44">
        <f>SUM(J24:K24)</f>
        <v>-73</v>
      </c>
      <c r="M24" s="57">
        <f>M23+L24</f>
        <v>150</v>
      </c>
    </row>
    <row r="25" spans="2:13">
      <c r="B25" s="55">
        <v>2015</v>
      </c>
      <c r="C25" s="44">
        <f>F24</f>
        <v>5981</v>
      </c>
      <c r="D25" s="44">
        <v>0</v>
      </c>
      <c r="E25" s="44">
        <v>0</v>
      </c>
      <c r="F25" s="44">
        <f>C25+D25-E25</f>
        <v>5981</v>
      </c>
      <c r="G25" s="44">
        <v>30277</v>
      </c>
      <c r="H25" s="44">
        <f>G25-(M24+J25)</f>
        <v>30127</v>
      </c>
      <c r="I25" s="56">
        <f>IFERROR(H25/F25,0)</f>
        <v>5.0371175388730984</v>
      </c>
      <c r="J25" s="44">
        <f>-M24*E25/F24</f>
        <v>0</v>
      </c>
      <c r="K25" s="44">
        <v>-351</v>
      </c>
      <c r="L25" s="44">
        <f>SUM(J25:K25)</f>
        <v>-351</v>
      </c>
      <c r="M25" s="57">
        <f>M24+L25</f>
        <v>-201</v>
      </c>
    </row>
    <row r="26" spans="2:13">
      <c r="B26" s="55">
        <v>2016</v>
      </c>
      <c r="C26" s="44">
        <f>F24</f>
        <v>5981</v>
      </c>
      <c r="D26" s="44">
        <v>1200</v>
      </c>
      <c r="E26" s="44">
        <v>0</v>
      </c>
      <c r="F26" s="44">
        <f>C26+D26-E26</f>
        <v>7181</v>
      </c>
      <c r="G26" s="44">
        <v>36012</v>
      </c>
      <c r="H26" s="44">
        <f>G26-(M24+J26)</f>
        <v>35862</v>
      </c>
      <c r="I26" s="56">
        <f>IFERROR(H26/F26,0)</f>
        <v>4.9940119760479043</v>
      </c>
      <c r="J26" s="44">
        <f>-M24*E26/F24</f>
        <v>0</v>
      </c>
      <c r="K26" s="44">
        <v>621</v>
      </c>
      <c r="L26" s="44">
        <f>SUM(J26:K26)</f>
        <v>621</v>
      </c>
      <c r="M26" s="57">
        <f>M24+L26</f>
        <v>771</v>
      </c>
    </row>
    <row r="27" spans="2:13">
      <c r="B27" s="55">
        <v>2017</v>
      </c>
      <c r="C27" s="44">
        <f>F25</f>
        <v>5981</v>
      </c>
      <c r="D27" s="44">
        <v>16600</v>
      </c>
      <c r="E27" s="44">
        <v>12200</v>
      </c>
      <c r="F27" s="44">
        <f>C27+D27-E27</f>
        <v>10381</v>
      </c>
      <c r="G27" s="44" t="e">
        <f>'5.3.1'!#REF!</f>
        <v>#REF!</v>
      </c>
      <c r="H27" s="44" t="e">
        <f>G27-(M26+J27)</f>
        <v>#REF!</v>
      </c>
      <c r="I27" s="56">
        <f>IFERROR(H27/F27,0)</f>
        <v>0</v>
      </c>
      <c r="J27" s="44">
        <f>-M26*E27/F26</f>
        <v>-1309.8732767024092</v>
      </c>
      <c r="K27" s="44" t="e">
        <f>'5.3.1'!#REF!</f>
        <v>#REF!</v>
      </c>
      <c r="L27" s="44" t="e">
        <f>SUM(J27:K27)</f>
        <v>#REF!</v>
      </c>
      <c r="M27" s="57" t="e">
        <f>M26+L27</f>
        <v>#REF!</v>
      </c>
    </row>
  </sheetData>
  <mergeCells count="1">
    <mergeCell ref="C21:G21"/>
  </mergeCells>
  <pageMargins left="0.75" right="0.75" top="1" bottom="1"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AX1471"/>
  <sheetViews>
    <sheetView showGridLines="0" view="pageBreakPreview" topLeftCell="A442" zoomScaleNormal="100" zoomScaleSheetLayoutView="100" workbookViewId="0">
      <selection activeCell="AX1471" sqref="AX1471"/>
    </sheetView>
  </sheetViews>
  <sheetFormatPr defaultColWidth="9" defaultRowHeight="12.75"/>
  <cols>
    <col min="1" max="1" width="6.75" style="873" customWidth="1"/>
    <col min="2" max="2" width="6.625" style="874" customWidth="1"/>
    <col min="3" max="3" width="25.75" style="861" customWidth="1"/>
    <col min="4" max="4" width="10.75" style="861" customWidth="1"/>
    <col min="5" max="5" width="2.75" style="861" hidden="1" customWidth="1"/>
    <col min="6" max="6" width="10.25" style="1509" customWidth="1"/>
    <col min="7" max="7" width="0.875" style="1509" customWidth="1"/>
    <col min="8" max="8" width="10.25" style="861" customWidth="1"/>
    <col min="9" max="9" width="0.875" style="861" customWidth="1"/>
    <col min="10" max="10" width="10.25" style="861" customWidth="1"/>
    <col min="11" max="11" width="0.875" style="861" customWidth="1"/>
    <col min="12" max="12" width="10.25" style="861" customWidth="1"/>
    <col min="13" max="13" width="3.625" style="861" customWidth="1"/>
    <col min="14" max="14" width="10.25" style="861" customWidth="1"/>
    <col min="15" max="15" width="37.375" style="875" customWidth="1"/>
    <col min="16" max="16" width="13.5" style="861" customWidth="1"/>
    <col min="17" max="17" width="12.875" style="861" customWidth="1"/>
    <col min="18" max="18" width="14.5" style="861" customWidth="1"/>
    <col min="19" max="19" width="12.375" style="861" customWidth="1"/>
    <col min="20" max="20" width="13.5" style="861" customWidth="1"/>
    <col min="21" max="21" width="10.875" style="861" customWidth="1"/>
    <col min="22" max="22" width="14.5" style="861" customWidth="1"/>
    <col min="23" max="23" width="14" style="861" customWidth="1"/>
    <col min="24" max="24" width="16.875" style="861" customWidth="1"/>
    <col min="25" max="25" width="9.75" style="861" customWidth="1"/>
    <col min="26" max="26" width="17.625" style="861" customWidth="1"/>
    <col min="27" max="27" width="13.875" style="861" customWidth="1"/>
    <col min="28" max="28" width="13.75" style="861" customWidth="1"/>
    <col min="29" max="29" width="10.75" style="861" customWidth="1"/>
    <col min="30" max="30" width="13.75" style="861" customWidth="1"/>
    <col min="31" max="31" width="10.75" style="861" customWidth="1"/>
    <col min="32" max="32" width="13.75" style="861" customWidth="1"/>
    <col min="33" max="33" width="10.75" style="861" customWidth="1"/>
    <col min="34" max="34" width="12.25" style="861" customWidth="1"/>
    <col min="35" max="35" width="9" style="861"/>
    <col min="36" max="36" width="13.75" style="861" customWidth="1"/>
    <col min="37" max="16384" width="9" style="861"/>
  </cols>
  <sheetData>
    <row r="1" spans="1:14" hidden="1"/>
    <row r="2" spans="1:14" hidden="1">
      <c r="A2" s="876" t="s">
        <v>1877</v>
      </c>
      <c r="B2" s="877" t="s">
        <v>927</v>
      </c>
      <c r="E2" s="1510"/>
      <c r="F2" s="861"/>
      <c r="G2" s="861"/>
      <c r="K2" s="879"/>
      <c r="L2" s="879"/>
      <c r="M2" s="879"/>
    </row>
    <row r="3" spans="1:14" hidden="1">
      <c r="A3" s="880"/>
      <c r="B3" s="881"/>
      <c r="C3" s="882"/>
      <c r="D3" s="882"/>
      <c r="E3" s="1510"/>
      <c r="F3" s="1515"/>
      <c r="G3" s="1515"/>
      <c r="H3" s="1515"/>
      <c r="I3" s="1515"/>
      <c r="J3" s="1515"/>
      <c r="K3" s="879"/>
      <c r="L3" s="879"/>
      <c r="M3" s="879"/>
    </row>
    <row r="4" spans="1:14" hidden="1">
      <c r="A4" s="880"/>
      <c r="B4" s="3107" t="s">
        <v>1937</v>
      </c>
      <c r="C4" s="3107"/>
      <c r="D4" s="3107"/>
      <c r="E4" s="3107"/>
      <c r="F4" s="3107"/>
      <c r="G4" s="3107"/>
      <c r="H4" s="3107"/>
      <c r="I4" s="3107"/>
      <c r="J4" s="3107"/>
      <c r="K4" s="3107"/>
      <c r="L4" s="3107"/>
      <c r="M4" s="3107"/>
      <c r="N4" s="3113"/>
    </row>
    <row r="5" spans="1:14" hidden="1">
      <c r="A5" s="880"/>
      <c r="B5" s="3107"/>
      <c r="C5" s="3107"/>
      <c r="D5" s="3107"/>
      <c r="E5" s="3107"/>
      <c r="F5" s="3107"/>
      <c r="G5" s="3107"/>
      <c r="H5" s="3107"/>
      <c r="I5" s="3107"/>
      <c r="J5" s="3107"/>
      <c r="K5" s="3107"/>
      <c r="L5" s="3107"/>
      <c r="M5" s="3107"/>
      <c r="N5" s="3113"/>
    </row>
    <row r="6" spans="1:14" hidden="1"/>
    <row r="7" spans="1:14" hidden="1">
      <c r="A7" s="880"/>
      <c r="B7" s="3107" t="s">
        <v>928</v>
      </c>
      <c r="C7" s="3107"/>
      <c r="D7" s="3107"/>
      <c r="E7" s="3107"/>
      <c r="F7" s="3107"/>
      <c r="G7" s="3107"/>
      <c r="H7" s="3107"/>
      <c r="I7" s="3107"/>
      <c r="J7" s="3107"/>
      <c r="K7" s="3107"/>
      <c r="L7" s="3107"/>
      <c r="M7" s="3107"/>
      <c r="N7" s="3113"/>
    </row>
    <row r="8" spans="1:14" hidden="1">
      <c r="A8" s="880"/>
      <c r="B8" s="3107"/>
      <c r="C8" s="3107"/>
      <c r="D8" s="3107"/>
      <c r="E8" s="3107"/>
      <c r="F8" s="3107"/>
      <c r="G8" s="3107"/>
      <c r="H8" s="3107"/>
      <c r="I8" s="3107"/>
      <c r="J8" s="3107"/>
      <c r="K8" s="3107"/>
      <c r="L8" s="3107"/>
      <c r="M8" s="3107"/>
      <c r="N8" s="3113"/>
    </row>
    <row r="9" spans="1:14" hidden="1">
      <c r="A9" s="880"/>
      <c r="B9" s="3107"/>
      <c r="C9" s="3107"/>
      <c r="D9" s="3107"/>
      <c r="E9" s="3107"/>
      <c r="F9" s="3107"/>
      <c r="G9" s="3107"/>
      <c r="H9" s="3107"/>
      <c r="I9" s="3107"/>
      <c r="J9" s="3107"/>
      <c r="K9" s="3107"/>
      <c r="L9" s="3107"/>
      <c r="M9" s="3107"/>
      <c r="N9" s="3113"/>
    </row>
    <row r="10" spans="1:14" hidden="1">
      <c r="A10" s="880"/>
      <c r="B10" s="3107"/>
      <c r="C10" s="3107"/>
      <c r="D10" s="3107"/>
      <c r="E10" s="3107"/>
      <c r="F10" s="3107"/>
      <c r="G10" s="3107"/>
      <c r="H10" s="3107"/>
      <c r="I10" s="3107"/>
      <c r="J10" s="3107"/>
      <c r="K10" s="3107"/>
      <c r="L10" s="3107"/>
      <c r="M10" s="3107"/>
      <c r="N10" s="3113"/>
    </row>
    <row r="11" spans="1:14" hidden="1">
      <c r="A11" s="880"/>
      <c r="B11" s="3107"/>
      <c r="C11" s="3107"/>
      <c r="D11" s="3107"/>
      <c r="E11" s="3107"/>
      <c r="F11" s="3107"/>
      <c r="G11" s="3107"/>
      <c r="H11" s="3107"/>
      <c r="I11" s="3107"/>
      <c r="J11" s="3107"/>
      <c r="K11" s="3107"/>
      <c r="L11" s="3107"/>
      <c r="M11" s="3107"/>
      <c r="N11" s="3113"/>
    </row>
    <row r="12" spans="1:14" hidden="1">
      <c r="A12" s="880"/>
      <c r="B12" s="3107"/>
      <c r="C12" s="3107"/>
      <c r="D12" s="3107"/>
      <c r="E12" s="3107"/>
      <c r="F12" s="3107"/>
      <c r="G12" s="3107"/>
      <c r="H12" s="3107"/>
      <c r="I12" s="3107"/>
      <c r="J12" s="3107"/>
      <c r="K12" s="3107"/>
      <c r="L12" s="3107"/>
      <c r="M12" s="3107"/>
      <c r="N12" s="3113"/>
    </row>
    <row r="13" spans="1:14" hidden="1">
      <c r="A13" s="880"/>
      <c r="B13" s="3107" t="s">
        <v>929</v>
      </c>
      <c r="C13" s="3107"/>
      <c r="D13" s="3107"/>
      <c r="E13" s="3107"/>
      <c r="F13" s="3107"/>
      <c r="G13" s="3107"/>
      <c r="H13" s="3107"/>
      <c r="I13" s="3107"/>
      <c r="J13" s="3107"/>
      <c r="K13" s="3107"/>
      <c r="L13" s="3107"/>
      <c r="M13" s="3107"/>
      <c r="N13" s="3113"/>
    </row>
    <row r="14" spans="1:14" hidden="1">
      <c r="A14" s="883"/>
      <c r="B14" s="3107"/>
      <c r="C14" s="3107"/>
      <c r="D14" s="3107"/>
      <c r="E14" s="3107"/>
      <c r="F14" s="3107"/>
      <c r="G14" s="3107"/>
      <c r="H14" s="3107"/>
      <c r="I14" s="3107"/>
      <c r="J14" s="3107"/>
      <c r="K14" s="3107"/>
      <c r="L14" s="3107"/>
      <c r="M14" s="3107"/>
      <c r="N14" s="3113"/>
    </row>
    <row r="15" spans="1:14" hidden="1">
      <c r="A15" s="880"/>
      <c r="B15" s="1515"/>
      <c r="C15" s="1515"/>
      <c r="D15" s="1515"/>
      <c r="E15" s="1515"/>
      <c r="F15" s="1515"/>
      <c r="G15" s="1515"/>
      <c r="H15" s="1515"/>
      <c r="I15" s="1515"/>
      <c r="J15" s="1515"/>
      <c r="K15" s="1515"/>
      <c r="L15" s="1515"/>
      <c r="M15" s="1515"/>
    </row>
    <row r="16" spans="1:14" hidden="1">
      <c r="A16" s="884">
        <f>'14-17'!A2+0.1</f>
        <v>25.1</v>
      </c>
      <c r="B16" s="877" t="s">
        <v>930</v>
      </c>
      <c r="E16" s="865"/>
      <c r="F16" s="865"/>
      <c r="G16" s="865"/>
      <c r="H16" s="865"/>
      <c r="I16" s="865"/>
      <c r="J16" s="865"/>
      <c r="K16" s="879"/>
      <c r="L16" s="879"/>
      <c r="M16" s="879"/>
    </row>
    <row r="17" spans="1:14" hidden="1">
      <c r="A17" s="867"/>
      <c r="B17" s="865"/>
      <c r="C17" s="865"/>
      <c r="D17" s="865"/>
      <c r="E17" s="865"/>
      <c r="F17" s="885"/>
      <c r="G17" s="885"/>
      <c r="H17" s="885"/>
      <c r="I17" s="885"/>
      <c r="J17" s="885"/>
      <c r="K17" s="879"/>
      <c r="L17" s="879"/>
      <c r="M17" s="879"/>
    </row>
    <row r="18" spans="1:14" hidden="1">
      <c r="A18" s="867"/>
      <c r="B18" s="3188" t="s">
        <v>931</v>
      </c>
      <c r="C18" s="3188"/>
      <c r="D18" s="3188"/>
      <c r="E18" s="3188"/>
      <c r="F18" s="3188"/>
      <c r="G18" s="3188"/>
      <c r="H18" s="3188"/>
      <c r="I18" s="3188"/>
      <c r="J18" s="3188"/>
      <c r="K18" s="3188"/>
      <c r="L18" s="3188"/>
      <c r="M18" s="3188"/>
      <c r="N18" s="3113"/>
    </row>
    <row r="19" spans="1:14" hidden="1">
      <c r="A19" s="867"/>
      <c r="B19" s="3188"/>
      <c r="C19" s="3188"/>
      <c r="D19" s="3188"/>
      <c r="E19" s="3188"/>
      <c r="F19" s="3188"/>
      <c r="G19" s="3188"/>
      <c r="H19" s="3188"/>
      <c r="I19" s="3188"/>
      <c r="J19" s="3188"/>
      <c r="K19" s="3188"/>
      <c r="L19" s="3188"/>
      <c r="M19" s="3188"/>
      <c r="N19" s="3113"/>
    </row>
    <row r="20" spans="1:14" hidden="1">
      <c r="A20" s="867"/>
      <c r="B20" s="885"/>
      <c r="C20" s="885"/>
      <c r="D20" s="885"/>
      <c r="E20" s="885"/>
      <c r="F20" s="885"/>
      <c r="G20" s="885"/>
      <c r="H20" s="885"/>
      <c r="I20" s="885"/>
      <c r="J20" s="885"/>
      <c r="K20" s="885"/>
      <c r="L20" s="885"/>
      <c r="M20" s="885"/>
    </row>
    <row r="21" spans="1:14" hidden="1">
      <c r="A21" s="867"/>
      <c r="B21" s="3189" t="s">
        <v>932</v>
      </c>
      <c r="C21" s="3188"/>
      <c r="D21" s="3188"/>
      <c r="E21" s="3188"/>
      <c r="F21" s="3188"/>
      <c r="G21" s="3188"/>
      <c r="H21" s="3188"/>
      <c r="I21" s="3188"/>
      <c r="J21" s="3188"/>
      <c r="K21" s="3188"/>
      <c r="L21" s="3188"/>
      <c r="M21" s="3188"/>
      <c r="N21" s="3113"/>
    </row>
    <row r="22" spans="1:14" hidden="1">
      <c r="A22" s="867"/>
      <c r="B22" s="3188"/>
      <c r="C22" s="3188"/>
      <c r="D22" s="3188"/>
      <c r="E22" s="3188"/>
      <c r="F22" s="3188"/>
      <c r="G22" s="3188"/>
      <c r="H22" s="3188"/>
      <c r="I22" s="3188"/>
      <c r="J22" s="3188"/>
      <c r="K22" s="3188"/>
      <c r="L22" s="3188"/>
      <c r="M22" s="3188"/>
      <c r="N22" s="3113"/>
    </row>
    <row r="23" spans="1:14" hidden="1">
      <c r="A23" s="867"/>
      <c r="B23" s="3188"/>
      <c r="C23" s="3188"/>
      <c r="D23" s="3188"/>
      <c r="E23" s="3188"/>
      <c r="F23" s="3188"/>
      <c r="G23" s="3188"/>
      <c r="H23" s="3188"/>
      <c r="I23" s="3188"/>
      <c r="J23" s="3188"/>
      <c r="K23" s="3188"/>
      <c r="L23" s="3188"/>
      <c r="M23" s="3188"/>
      <c r="N23" s="3113"/>
    </row>
    <row r="24" spans="1:14" hidden="1">
      <c r="A24" s="867"/>
      <c r="B24" s="3188"/>
      <c r="C24" s="3188"/>
      <c r="D24" s="3188"/>
      <c r="E24" s="3188"/>
      <c r="F24" s="3188"/>
      <c r="G24" s="3188"/>
      <c r="H24" s="3188"/>
      <c r="I24" s="3188"/>
      <c r="J24" s="3188"/>
      <c r="K24" s="3188"/>
      <c r="L24" s="3188"/>
      <c r="M24" s="3188"/>
      <c r="N24" s="3113"/>
    </row>
    <row r="25" spans="1:14" hidden="1">
      <c r="A25" s="867"/>
      <c r="B25" s="3188"/>
      <c r="C25" s="3188"/>
      <c r="D25" s="3188"/>
      <c r="E25" s="3188"/>
      <c r="F25" s="3188"/>
      <c r="G25" s="3188"/>
      <c r="H25" s="3188"/>
      <c r="I25" s="3188"/>
      <c r="J25" s="3188"/>
      <c r="K25" s="3188"/>
      <c r="L25" s="3188"/>
      <c r="M25" s="3188"/>
      <c r="N25" s="3113"/>
    </row>
    <row r="26" spans="1:14" hidden="1">
      <c r="A26" s="867"/>
      <c r="B26" s="885"/>
      <c r="C26" s="885"/>
      <c r="D26" s="885"/>
      <c r="E26" s="885"/>
      <c r="F26" s="885"/>
      <c r="G26" s="885"/>
      <c r="H26" s="885"/>
      <c r="I26" s="885"/>
      <c r="J26" s="885"/>
      <c r="K26" s="885"/>
      <c r="L26" s="885"/>
      <c r="M26" s="885"/>
    </row>
    <row r="27" spans="1:14" hidden="1">
      <c r="B27" s="865" t="s">
        <v>933</v>
      </c>
      <c r="C27" s="865"/>
      <c r="D27" s="865"/>
      <c r="E27" s="865"/>
      <c r="F27" s="865"/>
      <c r="G27" s="865"/>
      <c r="H27" s="865"/>
      <c r="K27" s="879"/>
      <c r="L27" s="879"/>
      <c r="M27" s="879"/>
    </row>
    <row r="28" spans="1:14" hidden="1">
      <c r="B28" s="865"/>
      <c r="C28" s="865"/>
      <c r="D28" s="865"/>
      <c r="E28" s="865"/>
      <c r="F28" s="865"/>
      <c r="G28" s="865"/>
      <c r="H28" s="865"/>
      <c r="K28" s="879"/>
      <c r="L28" s="879"/>
      <c r="M28" s="879"/>
    </row>
    <row r="29" spans="1:14" hidden="1">
      <c r="A29" s="886" t="s">
        <v>1492</v>
      </c>
      <c r="B29" s="877" t="s">
        <v>934</v>
      </c>
      <c r="C29" s="865"/>
      <c r="D29" s="865"/>
      <c r="E29" s="865"/>
      <c r="F29" s="865"/>
      <c r="G29" s="865"/>
      <c r="H29" s="865"/>
      <c r="K29" s="879"/>
      <c r="L29" s="879"/>
      <c r="M29" s="879"/>
    </row>
    <row r="30" spans="1:14" hidden="1">
      <c r="A30" s="886"/>
      <c r="B30" s="865"/>
      <c r="C30" s="865"/>
      <c r="D30" s="865"/>
      <c r="E30" s="865"/>
      <c r="F30" s="865"/>
      <c r="G30" s="865"/>
      <c r="H30" s="865"/>
      <c r="I30" s="865"/>
      <c r="J30" s="865"/>
      <c r="K30" s="865"/>
      <c r="L30" s="865"/>
      <c r="M30" s="865"/>
    </row>
    <row r="31" spans="1:14" hidden="1">
      <c r="A31" s="865"/>
      <c r="B31" s="3107" t="s">
        <v>935</v>
      </c>
      <c r="C31" s="3107"/>
      <c r="D31" s="3107"/>
      <c r="E31" s="3107"/>
      <c r="F31" s="3107"/>
      <c r="G31" s="3107"/>
      <c r="H31" s="3107"/>
      <c r="I31" s="3107"/>
      <c r="J31" s="3107"/>
      <c r="K31" s="3107"/>
      <c r="L31" s="3107"/>
      <c r="M31" s="3107"/>
      <c r="N31" s="3113"/>
    </row>
    <row r="32" spans="1:14" hidden="1">
      <c r="A32" s="865"/>
      <c r="B32" s="3107"/>
      <c r="C32" s="3107"/>
      <c r="D32" s="3107"/>
      <c r="E32" s="3107"/>
      <c r="F32" s="3107"/>
      <c r="G32" s="3107"/>
      <c r="H32" s="3107"/>
      <c r="I32" s="3107"/>
      <c r="J32" s="3107"/>
      <c r="K32" s="3107"/>
      <c r="L32" s="3107"/>
      <c r="M32" s="3107"/>
      <c r="N32" s="3113"/>
    </row>
    <row r="33" spans="1:25" hidden="1">
      <c r="A33" s="867"/>
      <c r="B33" s="3107"/>
      <c r="C33" s="3107"/>
      <c r="D33" s="3107"/>
      <c r="E33" s="3107"/>
      <c r="F33" s="3107"/>
      <c r="G33" s="3107"/>
      <c r="H33" s="3107"/>
      <c r="I33" s="3107"/>
      <c r="J33" s="3107"/>
      <c r="K33" s="3107"/>
      <c r="L33" s="3107"/>
      <c r="M33" s="3107"/>
      <c r="N33" s="3113"/>
    </row>
    <row r="34" spans="1:25" hidden="1">
      <c r="A34" s="867"/>
      <c r="B34" s="1512"/>
      <c r="C34" s="1512"/>
      <c r="D34" s="1512"/>
      <c r="E34" s="1512"/>
      <c r="F34" s="1512"/>
      <c r="G34" s="1512"/>
      <c r="H34" s="1512"/>
      <c r="I34" s="1512"/>
      <c r="J34" s="1512"/>
      <c r="K34" s="1512"/>
      <c r="L34" s="1512"/>
      <c r="M34" s="1512"/>
    </row>
    <row r="35" spans="1:25" hidden="1">
      <c r="A35" s="886" t="s">
        <v>1493</v>
      </c>
      <c r="B35" s="877" t="s">
        <v>936</v>
      </c>
      <c r="C35" s="865"/>
      <c r="D35" s="865"/>
      <c r="E35" s="865"/>
      <c r="F35" s="865"/>
      <c r="G35" s="865"/>
      <c r="H35" s="865"/>
      <c r="I35" s="865"/>
      <c r="J35" s="865"/>
      <c r="K35" s="865"/>
      <c r="L35" s="865"/>
      <c r="M35" s="865"/>
    </row>
    <row r="36" spans="1:25" hidden="1">
      <c r="A36" s="886"/>
      <c r="B36" s="865"/>
      <c r="C36" s="865"/>
      <c r="D36" s="865"/>
      <c r="E36" s="865"/>
      <c r="F36" s="865"/>
      <c r="G36" s="865"/>
      <c r="H36" s="865"/>
      <c r="I36" s="865"/>
      <c r="J36" s="865"/>
      <c r="K36" s="865"/>
      <c r="L36" s="865"/>
      <c r="M36" s="865"/>
    </row>
    <row r="37" spans="1:25" hidden="1">
      <c r="A37" s="886"/>
      <c r="B37" s="3107" t="s">
        <v>937</v>
      </c>
      <c r="C37" s="3107"/>
      <c r="D37" s="3107"/>
      <c r="E37" s="3107"/>
      <c r="F37" s="3107"/>
      <c r="G37" s="3107"/>
      <c r="H37" s="3107"/>
      <c r="I37" s="3107"/>
      <c r="J37" s="3107"/>
      <c r="K37" s="3107"/>
      <c r="L37" s="3107"/>
      <c r="M37" s="3107"/>
      <c r="N37" s="3113"/>
    </row>
    <row r="38" spans="1:25" hidden="1">
      <c r="A38" s="886"/>
      <c r="B38" s="3107"/>
      <c r="C38" s="3107"/>
      <c r="D38" s="3107"/>
      <c r="E38" s="3107"/>
      <c r="F38" s="3107"/>
      <c r="G38" s="3107"/>
      <c r="H38" s="3107"/>
      <c r="I38" s="3107"/>
      <c r="J38" s="3107"/>
      <c r="K38" s="3107"/>
      <c r="L38" s="3107"/>
      <c r="M38" s="3107"/>
      <c r="N38" s="3113"/>
    </row>
    <row r="39" spans="1:25" hidden="1">
      <c r="A39" s="886"/>
      <c r="B39" s="3107"/>
      <c r="C39" s="3107"/>
      <c r="D39" s="3107"/>
      <c r="E39" s="3107"/>
      <c r="F39" s="3107"/>
      <c r="G39" s="3107"/>
      <c r="H39" s="3107"/>
      <c r="I39" s="3107"/>
      <c r="J39" s="3107"/>
      <c r="K39" s="3107"/>
      <c r="L39" s="3107"/>
      <c r="M39" s="3107"/>
      <c r="N39" s="3113"/>
    </row>
    <row r="40" spans="1:25" hidden="1"/>
    <row r="41" spans="1:25" hidden="1">
      <c r="A41" s="886"/>
      <c r="B41" s="3107" t="s">
        <v>1531</v>
      </c>
      <c r="C41" s="3107"/>
      <c r="D41" s="3107"/>
      <c r="E41" s="3107"/>
      <c r="F41" s="3107"/>
      <c r="G41" s="3107"/>
      <c r="H41" s="3107"/>
      <c r="I41" s="3107"/>
      <c r="J41" s="3107"/>
      <c r="K41" s="3107"/>
      <c r="L41" s="3107"/>
      <c r="M41" s="3107"/>
      <c r="N41" s="3113"/>
      <c r="O41" s="888" t="s">
        <v>817</v>
      </c>
      <c r="P41" s="1509"/>
      <c r="Q41" s="1509"/>
      <c r="R41" s="1509"/>
      <c r="S41" s="1509"/>
      <c r="T41" s="1509"/>
      <c r="U41" s="1509"/>
      <c r="V41" s="1509"/>
      <c r="W41" s="1509"/>
      <c r="X41" s="1509"/>
      <c r="Y41" s="1509"/>
    </row>
    <row r="42" spans="1:25" hidden="1">
      <c r="A42" s="886"/>
      <c r="B42" s="3107"/>
      <c r="C42" s="3107"/>
      <c r="D42" s="3107"/>
      <c r="E42" s="3107"/>
      <c r="F42" s="3107"/>
      <c r="G42" s="3107"/>
      <c r="H42" s="3107"/>
      <c r="I42" s="3107"/>
      <c r="J42" s="3107"/>
      <c r="K42" s="3107"/>
      <c r="L42" s="3107"/>
      <c r="M42" s="3107"/>
      <c r="N42" s="3113"/>
      <c r="O42" s="888"/>
      <c r="P42" s="1509"/>
      <c r="Q42" s="1509"/>
      <c r="R42" s="1509"/>
      <c r="S42" s="1509"/>
      <c r="T42" s="1509"/>
      <c r="U42" s="1509"/>
      <c r="V42" s="1509"/>
      <c r="W42" s="1509"/>
      <c r="X42" s="1509"/>
      <c r="Y42" s="1509"/>
    </row>
    <row r="43" spans="1:25" hidden="1">
      <c r="A43" s="886"/>
      <c r="B43" s="3113"/>
      <c r="C43" s="3113"/>
      <c r="D43" s="3113"/>
      <c r="E43" s="3113"/>
      <c r="F43" s="3113"/>
      <c r="G43" s="3113"/>
      <c r="H43" s="3113"/>
      <c r="I43" s="3113"/>
      <c r="J43" s="3113"/>
      <c r="K43" s="3113"/>
      <c r="L43" s="3113"/>
      <c r="M43" s="3113"/>
      <c r="N43" s="3113"/>
      <c r="O43" s="889"/>
      <c r="P43" s="1509"/>
      <c r="Q43" s="1509"/>
      <c r="R43" s="1509"/>
      <c r="S43" s="1509"/>
      <c r="T43" s="1509"/>
      <c r="U43" s="1509"/>
      <c r="V43" s="1509"/>
      <c r="W43" s="1509"/>
      <c r="X43" s="1509"/>
      <c r="Y43" s="1509"/>
    </row>
    <row r="44" spans="1:25" hidden="1">
      <c r="A44" s="886"/>
      <c r="B44" s="886" t="s">
        <v>839</v>
      </c>
      <c r="C44" s="877" t="s">
        <v>938</v>
      </c>
      <c r="D44" s="865"/>
      <c r="E44" s="865"/>
      <c r="F44" s="865"/>
      <c r="G44" s="865"/>
      <c r="H44" s="865"/>
      <c r="I44" s="865"/>
      <c r="J44" s="865"/>
      <c r="K44" s="865"/>
      <c r="L44" s="865"/>
      <c r="M44" s="865"/>
      <c r="N44" s="1509"/>
      <c r="O44" s="889"/>
      <c r="P44" s="890"/>
      <c r="Q44" s="890"/>
      <c r="R44" s="890"/>
      <c r="S44" s="1509"/>
      <c r="T44" s="1509"/>
      <c r="U44" s="1509"/>
      <c r="V44" s="1509"/>
      <c r="W44" s="1509"/>
      <c r="X44" s="1509"/>
      <c r="Y44" s="1509"/>
    </row>
    <row r="45" spans="1:25" hidden="1">
      <c r="A45" s="886"/>
      <c r="B45" s="865"/>
      <c r="C45" s="865"/>
      <c r="D45" s="865"/>
      <c r="E45" s="865"/>
      <c r="F45" s="865"/>
      <c r="G45" s="865"/>
      <c r="H45" s="865"/>
      <c r="I45" s="865"/>
      <c r="J45" s="865"/>
      <c r="K45" s="865"/>
      <c r="L45" s="865"/>
      <c r="M45" s="865"/>
      <c r="N45" s="1509"/>
      <c r="O45" s="1509" t="s">
        <v>1853</v>
      </c>
      <c r="P45" s="890" t="e">
        <f>IS!#REF!*1000</f>
        <v>#REF!</v>
      </c>
      <c r="Q45" s="890"/>
      <c r="R45" s="890" t="e">
        <f>IS!#REF!*1000</f>
        <v>#REF!</v>
      </c>
      <c r="S45" s="890"/>
      <c r="T45" s="1509"/>
      <c r="U45" s="1509"/>
      <c r="V45" s="1509"/>
      <c r="W45" s="1509"/>
      <c r="X45" s="1509"/>
      <c r="Y45" s="1509"/>
    </row>
    <row r="46" spans="1:25" hidden="1">
      <c r="A46" s="886"/>
      <c r="B46" s="865"/>
      <c r="C46" s="3107" t="s">
        <v>1932</v>
      </c>
      <c r="D46" s="3107"/>
      <c r="E46" s="3107"/>
      <c r="F46" s="3107"/>
      <c r="G46" s="3107"/>
      <c r="H46" s="3107"/>
      <c r="I46" s="3107"/>
      <c r="J46" s="3107"/>
      <c r="K46" s="3107"/>
      <c r="L46" s="3107"/>
      <c r="M46" s="3107"/>
      <c r="N46" s="3107"/>
      <c r="O46" s="1509" t="s">
        <v>1398</v>
      </c>
      <c r="P46" s="890" t="e">
        <f>IS!#REF!*1000</f>
        <v>#REF!</v>
      </c>
      <c r="Q46" s="890"/>
      <c r="R46" s="890" t="e">
        <f>IS!#REF!*1000</f>
        <v>#REF!</v>
      </c>
      <c r="S46" s="890"/>
      <c r="T46" s="890"/>
      <c r="U46" s="1509"/>
      <c r="V46" s="1509"/>
      <c r="W46" s="1509"/>
      <c r="X46" s="1509"/>
      <c r="Y46" s="1509"/>
    </row>
    <row r="47" spans="1:25" hidden="1">
      <c r="A47" s="886"/>
      <c r="B47" s="865"/>
      <c r="C47" s="3107"/>
      <c r="D47" s="3107"/>
      <c r="E47" s="3107"/>
      <c r="F47" s="3107"/>
      <c r="G47" s="3107"/>
      <c r="H47" s="3107"/>
      <c r="I47" s="3107"/>
      <c r="J47" s="3107"/>
      <c r="K47" s="3107"/>
      <c r="L47" s="3107"/>
      <c r="M47" s="3107"/>
      <c r="N47" s="3107"/>
      <c r="O47" s="889"/>
      <c r="P47" s="890" t="s">
        <v>1689</v>
      </c>
      <c r="Q47" s="890"/>
      <c r="R47" s="890"/>
      <c r="S47" s="890"/>
      <c r="T47" s="890"/>
      <c r="U47" s="1509"/>
      <c r="V47" s="1509"/>
      <c r="W47" s="1509"/>
      <c r="X47" s="1509"/>
      <c r="Y47" s="1509"/>
    </row>
    <row r="48" spans="1:25" hidden="1">
      <c r="A48" s="886"/>
      <c r="B48" s="865"/>
      <c r="C48" s="3107"/>
      <c r="D48" s="3107"/>
      <c r="E48" s="3107"/>
      <c r="F48" s="3107"/>
      <c r="G48" s="3107"/>
      <c r="H48" s="3107"/>
      <c r="I48" s="3107"/>
      <c r="J48" s="3107"/>
      <c r="K48" s="3107"/>
      <c r="L48" s="3107"/>
      <c r="M48" s="3107"/>
      <c r="N48" s="3107"/>
      <c r="O48" s="889"/>
      <c r="P48" s="890" t="s">
        <v>1694</v>
      </c>
      <c r="Q48" s="890" t="s">
        <v>1695</v>
      </c>
      <c r="R48" s="890"/>
      <c r="S48" s="890"/>
      <c r="T48" s="890"/>
      <c r="U48" s="1509"/>
      <c r="V48" s="1509"/>
      <c r="W48" s="1509"/>
      <c r="X48" s="1509"/>
      <c r="Y48" s="1509"/>
    </row>
    <row r="49" spans="1:29" hidden="1">
      <c r="A49" s="886"/>
      <c r="B49" s="865"/>
      <c r="C49" s="3107"/>
      <c r="D49" s="3107"/>
      <c r="E49" s="3107"/>
      <c r="F49" s="3107"/>
      <c r="G49" s="3107"/>
      <c r="H49" s="3107"/>
      <c r="I49" s="3107"/>
      <c r="J49" s="3107"/>
      <c r="K49" s="3107"/>
      <c r="L49" s="3107"/>
      <c r="M49" s="3107"/>
      <c r="N49" s="3107"/>
      <c r="O49" s="889"/>
      <c r="P49" s="890"/>
      <c r="Q49" s="890"/>
      <c r="R49" s="890"/>
      <c r="S49" s="890"/>
      <c r="T49" s="890"/>
      <c r="U49" s="1509"/>
      <c r="V49" s="1509"/>
      <c r="W49" s="1509"/>
      <c r="X49" s="1509"/>
      <c r="Y49" s="1509"/>
    </row>
    <row r="50" spans="1:29" hidden="1">
      <c r="A50" s="886"/>
      <c r="B50" s="865"/>
      <c r="C50" s="1512"/>
      <c r="D50" s="1512"/>
      <c r="E50" s="1512"/>
      <c r="F50" s="1512"/>
      <c r="G50" s="1512"/>
      <c r="H50" s="1512"/>
      <c r="I50" s="1512"/>
      <c r="J50" s="1512"/>
      <c r="K50" s="1512"/>
      <c r="L50" s="1512"/>
      <c r="M50" s="1512"/>
      <c r="N50" s="1511"/>
      <c r="O50" s="889"/>
      <c r="P50" s="890"/>
      <c r="Q50" s="890"/>
      <c r="R50" s="890"/>
      <c r="S50" s="890"/>
      <c r="T50" s="890"/>
      <c r="U50" s="1509"/>
      <c r="V50" s="1509"/>
      <c r="W50" s="1509"/>
      <c r="X50" s="1509"/>
      <c r="Y50" s="1509"/>
    </row>
    <row r="51" spans="1:29" hidden="1">
      <c r="A51" s="886"/>
      <c r="B51" s="891" t="s">
        <v>840</v>
      </c>
      <c r="C51" s="877" t="s">
        <v>939</v>
      </c>
      <c r="D51" s="865"/>
      <c r="E51" s="865"/>
      <c r="F51" s="865"/>
      <c r="G51" s="865"/>
      <c r="H51" s="865"/>
      <c r="I51" s="865"/>
      <c r="J51" s="865"/>
      <c r="K51" s="865"/>
      <c r="L51" s="865"/>
      <c r="M51" s="865"/>
      <c r="N51" s="1509"/>
      <c r="O51" s="889"/>
      <c r="P51" s="890"/>
      <c r="Q51" s="890"/>
      <c r="R51" s="890"/>
      <c r="S51" s="890"/>
      <c r="T51" s="890"/>
      <c r="U51" s="1509"/>
      <c r="V51" s="1509"/>
      <c r="W51" s="1509"/>
      <c r="X51" s="1509"/>
      <c r="Y51" s="1509"/>
    </row>
    <row r="52" spans="1:29" hidden="1">
      <c r="A52" s="886"/>
      <c r="B52" s="865"/>
      <c r="C52" s="865"/>
      <c r="D52" s="865"/>
      <c r="E52" s="865"/>
      <c r="F52" s="865"/>
      <c r="G52" s="865"/>
      <c r="H52" s="865"/>
      <c r="I52" s="865"/>
      <c r="J52" s="865"/>
      <c r="K52" s="865"/>
      <c r="L52" s="865"/>
      <c r="M52" s="865"/>
      <c r="N52" s="1509"/>
      <c r="O52" s="889"/>
      <c r="P52" s="890"/>
      <c r="Q52" s="890"/>
      <c r="R52" s="890"/>
      <c r="S52" s="890"/>
      <c r="T52" s="890"/>
      <c r="U52" s="1509"/>
      <c r="V52" s="1509"/>
      <c r="W52" s="1509"/>
      <c r="X52" s="1509"/>
      <c r="Y52" s="1509"/>
    </row>
    <row r="53" spans="1:29" hidden="1">
      <c r="A53" s="886"/>
      <c r="B53" s="865"/>
      <c r="C53" s="3107" t="s">
        <v>1933</v>
      </c>
      <c r="D53" s="3107"/>
      <c r="E53" s="3107"/>
      <c r="F53" s="3107"/>
      <c r="G53" s="3107"/>
      <c r="H53" s="3107"/>
      <c r="I53" s="3107"/>
      <c r="J53" s="3107"/>
      <c r="K53" s="3107"/>
      <c r="L53" s="3107"/>
      <c r="M53" s="3107"/>
      <c r="N53" s="3107"/>
      <c r="O53" s="889"/>
      <c r="P53" s="890" t="s">
        <v>1689</v>
      </c>
      <c r="Q53" s="890"/>
      <c r="R53" s="890"/>
      <c r="S53" s="890"/>
      <c r="T53" s="890"/>
      <c r="U53" s="1509"/>
      <c r="V53" s="1509"/>
      <c r="W53" s="1509"/>
      <c r="X53" s="1509"/>
      <c r="Y53" s="1509"/>
    </row>
    <row r="54" spans="1:29" hidden="1">
      <c r="A54" s="886"/>
      <c r="B54" s="865"/>
      <c r="C54" s="3107"/>
      <c r="D54" s="3107"/>
      <c r="E54" s="3107"/>
      <c r="F54" s="3107"/>
      <c r="G54" s="3107"/>
      <c r="H54" s="3107"/>
      <c r="I54" s="3107"/>
      <c r="J54" s="3107"/>
      <c r="K54" s="3107"/>
      <c r="L54" s="3107"/>
      <c r="M54" s="3107"/>
      <c r="N54" s="3107"/>
      <c r="O54" s="889"/>
      <c r="P54" s="890" t="s">
        <v>1690</v>
      </c>
      <c r="Q54" s="890"/>
      <c r="R54" s="890"/>
      <c r="S54" s="890"/>
      <c r="T54" s="890"/>
      <c r="U54" s="1509"/>
      <c r="V54" s="1509"/>
      <c r="W54" s="1509"/>
      <c r="X54" s="1509"/>
      <c r="Y54" s="1509"/>
    </row>
    <row r="55" spans="1:29" hidden="1">
      <c r="A55" s="886"/>
      <c r="B55" s="865"/>
      <c r="C55" s="3107"/>
      <c r="D55" s="3107"/>
      <c r="E55" s="3107"/>
      <c r="F55" s="3107"/>
      <c r="G55" s="3107"/>
      <c r="H55" s="3107"/>
      <c r="I55" s="3107"/>
      <c r="J55" s="3107"/>
      <c r="K55" s="3107"/>
      <c r="L55" s="3107"/>
      <c r="M55" s="3107"/>
      <c r="N55" s="3107"/>
      <c r="O55" s="889"/>
      <c r="P55" s="892" t="s">
        <v>1691</v>
      </c>
      <c r="Q55" s="893" t="s">
        <v>1692</v>
      </c>
      <c r="R55" s="890"/>
      <c r="S55" s="890"/>
      <c r="T55" s="890"/>
      <c r="U55" s="1509"/>
      <c r="V55" s="1509"/>
      <c r="W55" s="1509"/>
      <c r="X55" s="1509"/>
      <c r="Y55" s="1509"/>
    </row>
    <row r="56" spans="1:29" hidden="1">
      <c r="A56" s="886"/>
      <c r="B56" s="865"/>
      <c r="C56" s="3107"/>
      <c r="D56" s="3107"/>
      <c r="E56" s="3107"/>
      <c r="F56" s="3107"/>
      <c r="G56" s="3107"/>
      <c r="H56" s="3107"/>
      <c r="I56" s="3107"/>
      <c r="J56" s="3107"/>
      <c r="K56" s="3107"/>
      <c r="L56" s="3107"/>
      <c r="M56" s="3107"/>
      <c r="N56" s="3107"/>
      <c r="O56" s="889"/>
      <c r="P56" s="890" t="s">
        <v>1693</v>
      </c>
      <c r="Q56" s="890" t="s">
        <v>1693</v>
      </c>
      <c r="R56" s="890"/>
      <c r="S56" s="890"/>
      <c r="T56" s="890"/>
      <c r="U56" s="1509"/>
      <c r="V56" s="1509"/>
      <c r="W56" s="1509"/>
      <c r="X56" s="1509"/>
      <c r="Y56" s="1509"/>
    </row>
    <row r="57" spans="1:29" hidden="1">
      <c r="A57" s="886"/>
      <c r="B57" s="865"/>
      <c r="C57" s="3107"/>
      <c r="D57" s="3107"/>
      <c r="E57" s="3107"/>
      <c r="F57" s="3107"/>
      <c r="G57" s="3107"/>
      <c r="H57" s="3107"/>
      <c r="I57" s="3107"/>
      <c r="J57" s="3107"/>
      <c r="K57" s="3107"/>
      <c r="L57" s="3107"/>
      <c r="M57" s="3107"/>
      <c r="N57" s="3107"/>
      <c r="O57" s="889" t="s">
        <v>1491</v>
      </c>
      <c r="P57" s="890"/>
      <c r="Q57" s="890"/>
      <c r="R57" s="890"/>
      <c r="S57" s="890"/>
      <c r="T57" s="890"/>
      <c r="U57" s="1509"/>
      <c r="V57" s="1509"/>
      <c r="W57" s="1509"/>
      <c r="X57" s="1509"/>
      <c r="Y57" s="1509"/>
    </row>
    <row r="58" spans="1:29" hidden="1">
      <c r="A58" s="886"/>
      <c r="B58" s="865"/>
      <c r="C58" s="3107"/>
      <c r="D58" s="3107"/>
      <c r="E58" s="3107"/>
      <c r="F58" s="3107"/>
      <c r="G58" s="3107"/>
      <c r="H58" s="3107"/>
      <c r="I58" s="3107"/>
      <c r="J58" s="3107"/>
      <c r="K58" s="3107"/>
      <c r="L58" s="3107"/>
      <c r="M58" s="3107"/>
      <c r="N58" s="3107"/>
      <c r="O58" s="889"/>
      <c r="P58" s="890"/>
      <c r="Q58" s="890"/>
      <c r="R58" s="890"/>
      <c r="S58" s="890"/>
      <c r="T58" s="890"/>
      <c r="U58" s="1509"/>
      <c r="V58" s="1509"/>
      <c r="W58" s="1509"/>
      <c r="X58" s="1509"/>
      <c r="Y58" s="1509"/>
    </row>
    <row r="59" spans="1:29" hidden="1">
      <c r="A59" s="886"/>
      <c r="B59" s="865"/>
      <c r="C59" s="3107" t="s">
        <v>1532</v>
      </c>
      <c r="D59" s="3107"/>
      <c r="E59" s="3107"/>
      <c r="F59" s="3107"/>
      <c r="G59" s="3107"/>
      <c r="H59" s="3107"/>
      <c r="I59" s="3107"/>
      <c r="J59" s="3107"/>
      <c r="K59" s="3107"/>
      <c r="L59" s="3107"/>
      <c r="M59" s="3107"/>
      <c r="N59" s="3107"/>
      <c r="O59" s="889"/>
      <c r="P59" s="890"/>
      <c r="Q59" s="890"/>
      <c r="R59" s="890"/>
      <c r="S59" s="890"/>
      <c r="T59" s="890"/>
      <c r="U59" s="1509"/>
      <c r="V59" s="1509"/>
      <c r="W59" s="1509"/>
      <c r="X59" s="1509"/>
      <c r="Y59" s="1509"/>
    </row>
    <row r="60" spans="1:29" hidden="1">
      <c r="A60" s="886"/>
      <c r="B60" s="865"/>
      <c r="C60" s="3107"/>
      <c r="D60" s="3107"/>
      <c r="E60" s="3107"/>
      <c r="F60" s="3107"/>
      <c r="G60" s="3107"/>
      <c r="H60" s="3107"/>
      <c r="I60" s="3107"/>
      <c r="J60" s="3107"/>
      <c r="K60" s="3107"/>
      <c r="L60" s="3107"/>
      <c r="M60" s="3107"/>
      <c r="N60" s="3107"/>
      <c r="O60" s="889"/>
      <c r="P60" s="890"/>
      <c r="Q60" s="890"/>
      <c r="R60" s="890"/>
      <c r="S60" s="890"/>
      <c r="T60" s="890"/>
      <c r="U60" s="1509"/>
      <c r="V60" s="1509"/>
      <c r="W60" s="1509"/>
      <c r="X60" s="1509"/>
      <c r="Y60" s="1509"/>
    </row>
    <row r="61" spans="1:29" hidden="1">
      <c r="A61" s="886"/>
      <c r="B61" s="865"/>
      <c r="C61" s="3107"/>
      <c r="D61" s="3107"/>
      <c r="E61" s="3107"/>
      <c r="F61" s="3107"/>
      <c r="G61" s="3107"/>
      <c r="H61" s="3107"/>
      <c r="I61" s="3107"/>
      <c r="J61" s="3107"/>
      <c r="K61" s="3107"/>
      <c r="L61" s="3107"/>
      <c r="M61" s="3107"/>
      <c r="N61" s="3107"/>
      <c r="O61" s="889"/>
      <c r="P61" s="890"/>
      <c r="Q61" s="890"/>
      <c r="R61" s="890"/>
      <c r="S61" s="890"/>
      <c r="T61" s="890"/>
      <c r="U61" s="1509"/>
      <c r="V61" s="1509"/>
      <c r="W61" s="1509"/>
      <c r="X61" s="1509"/>
      <c r="Y61" s="1509"/>
    </row>
    <row r="62" spans="1:29" hidden="1">
      <c r="A62" s="880"/>
      <c r="B62" s="861"/>
      <c r="C62" s="3113"/>
      <c r="D62" s="3113"/>
      <c r="E62" s="3113"/>
      <c r="F62" s="3113"/>
      <c r="G62" s="3113"/>
      <c r="H62" s="3113"/>
      <c r="I62" s="3113"/>
      <c r="J62" s="3113"/>
      <c r="K62" s="3113"/>
      <c r="L62" s="3113"/>
      <c r="M62" s="3113"/>
      <c r="N62" s="3113"/>
      <c r="O62" s="894"/>
      <c r="P62" s="895"/>
      <c r="Q62" s="896"/>
      <c r="R62" s="896"/>
      <c r="S62" s="896"/>
      <c r="T62" s="896"/>
      <c r="U62" s="897"/>
      <c r="V62" s="897"/>
      <c r="W62" s="897"/>
      <c r="X62" s="897"/>
      <c r="Y62" s="897"/>
      <c r="Z62" s="897"/>
      <c r="AA62" s="897"/>
      <c r="AB62" s="897"/>
      <c r="AC62" s="897"/>
    </row>
    <row r="63" spans="1:29" ht="15" hidden="1">
      <c r="A63" s="880"/>
      <c r="B63" s="861"/>
      <c r="C63" s="1513"/>
      <c r="D63" s="1513"/>
      <c r="E63" s="1513"/>
      <c r="F63" s="1513"/>
      <c r="G63" s="1513"/>
      <c r="H63" s="1513"/>
      <c r="I63" s="1513"/>
      <c r="J63" s="1513"/>
      <c r="K63" s="1513"/>
      <c r="L63" s="1513"/>
      <c r="M63" s="1513"/>
      <c r="N63" s="1513"/>
      <c r="O63" s="894"/>
      <c r="P63" s="895"/>
      <c r="Q63" s="896"/>
      <c r="R63" s="896"/>
      <c r="S63" s="896"/>
      <c r="T63" s="896"/>
      <c r="U63" s="897"/>
      <c r="V63" s="897"/>
      <c r="W63" s="897"/>
      <c r="X63" s="897"/>
      <c r="Y63" s="897"/>
      <c r="Z63" s="897"/>
      <c r="AA63" s="897"/>
      <c r="AB63" s="897"/>
      <c r="AC63" s="897"/>
    </row>
    <row r="64" spans="1:29" ht="14.25" hidden="1" customHeight="1">
      <c r="A64" s="880"/>
      <c r="B64" s="3160" t="s">
        <v>940</v>
      </c>
      <c r="C64" s="3160"/>
      <c r="D64" s="3160"/>
      <c r="E64" s="3160"/>
      <c r="F64" s="3160"/>
      <c r="G64" s="3160"/>
      <c r="H64" s="3160"/>
      <c r="I64" s="3160"/>
      <c r="J64" s="3160"/>
      <c r="K64" s="3160"/>
      <c r="L64" s="3160"/>
      <c r="M64" s="3160"/>
      <c r="N64" s="3160"/>
      <c r="O64" s="894"/>
      <c r="P64" s="895"/>
      <c r="Q64" s="896"/>
      <c r="R64" s="896"/>
      <c r="S64" s="896"/>
      <c r="T64" s="896"/>
      <c r="U64" s="897"/>
      <c r="V64" s="897"/>
      <c r="W64" s="897"/>
      <c r="X64" s="897"/>
      <c r="Y64" s="897"/>
      <c r="Z64" s="897"/>
      <c r="AA64" s="897"/>
      <c r="AB64" s="897"/>
      <c r="AC64" s="897"/>
    </row>
    <row r="65" spans="1:29" ht="14.25" hidden="1" customHeight="1">
      <c r="A65" s="880"/>
      <c r="B65" s="3160"/>
      <c r="C65" s="3160"/>
      <c r="D65" s="3160"/>
      <c r="E65" s="3160"/>
      <c r="F65" s="3160"/>
      <c r="G65" s="3160"/>
      <c r="H65" s="3160"/>
      <c r="I65" s="3160"/>
      <c r="J65" s="3160"/>
      <c r="K65" s="3160"/>
      <c r="L65" s="3160"/>
      <c r="M65" s="3160"/>
      <c r="N65" s="3160"/>
      <c r="O65" s="894"/>
      <c r="P65" s="895"/>
      <c r="Q65" s="896"/>
      <c r="R65" s="896"/>
      <c r="S65" s="896"/>
      <c r="T65" s="896"/>
      <c r="U65" s="897"/>
      <c r="V65" s="897"/>
      <c r="W65" s="897"/>
      <c r="X65" s="897"/>
      <c r="Y65" s="897"/>
      <c r="Z65" s="897"/>
      <c r="AA65" s="897"/>
      <c r="AB65" s="897"/>
      <c r="AC65" s="897"/>
    </row>
    <row r="66" spans="1:29" ht="18" hidden="1" customHeight="1">
      <c r="A66" s="880"/>
      <c r="B66" s="3160"/>
      <c r="C66" s="3160"/>
      <c r="D66" s="3160"/>
      <c r="E66" s="3160"/>
      <c r="F66" s="3160"/>
      <c r="G66" s="3160"/>
      <c r="H66" s="3160"/>
      <c r="I66" s="3160"/>
      <c r="J66" s="3160"/>
      <c r="K66" s="3160"/>
      <c r="L66" s="3160"/>
      <c r="M66" s="3160"/>
      <c r="N66" s="3160"/>
      <c r="O66" s="894"/>
      <c r="P66" s="895"/>
      <c r="Q66" s="896"/>
      <c r="R66" s="896"/>
      <c r="S66" s="896"/>
      <c r="T66" s="896"/>
      <c r="U66" s="897"/>
      <c r="V66" s="897"/>
      <c r="W66" s="897"/>
      <c r="X66" s="897"/>
      <c r="Y66" s="897"/>
      <c r="Z66" s="897"/>
      <c r="AA66" s="897"/>
      <c r="AB66" s="897"/>
      <c r="AC66" s="897"/>
    </row>
    <row r="67" spans="1:29" s="904" customFormat="1" ht="15.75" hidden="1" customHeight="1">
      <c r="A67" s="898"/>
      <c r="B67" s="899"/>
      <c r="C67" s="899"/>
      <c r="D67" s="3156" t="s">
        <v>1533</v>
      </c>
      <c r="E67" s="3156"/>
      <c r="F67" s="3156"/>
      <c r="G67" s="3156"/>
      <c r="H67" s="3156"/>
      <c r="I67" s="3156"/>
      <c r="J67" s="3156"/>
      <c r="K67" s="3156"/>
      <c r="L67" s="3156"/>
      <c r="M67" s="3156"/>
      <c r="N67" s="3156"/>
      <c r="O67" s="900"/>
      <c r="P67" s="901"/>
      <c r="Q67" s="902"/>
      <c r="R67" s="902"/>
      <c r="S67" s="902"/>
      <c r="T67" s="902"/>
      <c r="U67" s="903"/>
      <c r="V67" s="903"/>
      <c r="W67" s="903"/>
      <c r="X67" s="903"/>
    </row>
    <row r="68" spans="1:29" s="904" customFormat="1" ht="7.5" hidden="1" customHeight="1">
      <c r="A68" s="898"/>
      <c r="B68" s="899"/>
      <c r="C68" s="899"/>
      <c r="D68" s="3162" t="s">
        <v>942</v>
      </c>
      <c r="E68" s="899"/>
      <c r="F68" s="3162" t="s">
        <v>943</v>
      </c>
      <c r="G68" s="905"/>
      <c r="H68" s="3162" t="s">
        <v>944</v>
      </c>
      <c r="I68" s="1520"/>
      <c r="J68" s="3162" t="s">
        <v>1469</v>
      </c>
      <c r="K68" s="905"/>
      <c r="L68" s="3162" t="s">
        <v>946</v>
      </c>
      <c r="M68" s="905"/>
      <c r="N68" s="3163" t="s">
        <v>681</v>
      </c>
      <c r="O68" s="900"/>
      <c r="P68" s="901"/>
      <c r="Q68" s="902"/>
      <c r="R68" s="902"/>
      <c r="S68" s="902"/>
      <c r="T68" s="902"/>
      <c r="U68" s="903"/>
      <c r="V68" s="903"/>
      <c r="W68" s="903"/>
      <c r="X68" s="903"/>
    </row>
    <row r="69" spans="1:29" s="904" customFormat="1" ht="9" hidden="1">
      <c r="A69" s="898"/>
      <c r="B69" s="899"/>
      <c r="C69" s="899"/>
      <c r="D69" s="3162"/>
      <c r="E69" s="899"/>
      <c r="F69" s="3162"/>
      <c r="G69" s="899"/>
      <c r="H69" s="3162"/>
      <c r="I69" s="899"/>
      <c r="J69" s="3162"/>
      <c r="K69" s="899"/>
      <c r="L69" s="3162"/>
      <c r="M69" s="899"/>
      <c r="N69" s="3163"/>
      <c r="O69" s="900"/>
      <c r="P69" s="901"/>
      <c r="Q69" s="902"/>
      <c r="R69" s="902"/>
      <c r="S69" s="902"/>
      <c r="T69" s="902"/>
      <c r="U69" s="903"/>
      <c r="V69" s="903"/>
      <c r="W69" s="903"/>
      <c r="X69" s="903"/>
    </row>
    <row r="70" spans="1:29" s="904" customFormat="1" ht="21.75" hidden="1" customHeight="1">
      <c r="A70" s="898"/>
      <c r="C70" s="899"/>
      <c r="D70" s="3162"/>
      <c r="E70" s="899"/>
      <c r="F70" s="3162"/>
      <c r="G70" s="899"/>
      <c r="H70" s="3162"/>
      <c r="I70" s="899"/>
      <c r="J70" s="3162"/>
      <c r="K70" s="899"/>
      <c r="L70" s="3162"/>
      <c r="M70" s="899"/>
      <c r="N70" s="3163"/>
      <c r="O70" s="900"/>
      <c r="P70" s="901" t="s">
        <v>947</v>
      </c>
      <c r="Q70" s="906" t="s">
        <v>948</v>
      </c>
      <c r="R70" s="902"/>
      <c r="S70" s="902"/>
      <c r="T70" s="902"/>
      <c r="U70" s="903"/>
      <c r="V70" s="903"/>
      <c r="W70" s="903"/>
      <c r="X70" s="903"/>
    </row>
    <row r="71" spans="1:29" s="904" customFormat="1" ht="8.25" hidden="1" customHeight="1">
      <c r="A71" s="898"/>
      <c r="C71" s="899"/>
      <c r="D71" s="3162"/>
      <c r="E71" s="899"/>
      <c r="F71" s="3162"/>
      <c r="G71" s="899"/>
      <c r="H71" s="3162"/>
      <c r="I71" s="899"/>
      <c r="J71" s="3162"/>
      <c r="K71" s="899"/>
      <c r="L71" s="3162"/>
      <c r="M71" s="899"/>
      <c r="N71" s="3163"/>
      <c r="O71" s="900"/>
      <c r="P71" s="904" t="s">
        <v>949</v>
      </c>
      <c r="Q71" s="907">
        <v>8.25</v>
      </c>
      <c r="R71" s="903"/>
      <c r="S71" s="903"/>
      <c r="T71" s="903"/>
      <c r="U71" s="903"/>
      <c r="V71" s="903"/>
      <c r="W71" s="903"/>
      <c r="X71" s="903"/>
    </row>
    <row r="72" spans="1:29" s="904" customFormat="1" ht="9.75" hidden="1" customHeight="1">
      <c r="A72" s="898"/>
      <c r="C72" s="899"/>
      <c r="D72" s="899"/>
      <c r="E72" s="899"/>
      <c r="F72" s="3156" t="s">
        <v>950</v>
      </c>
      <c r="G72" s="3156"/>
      <c r="H72" s="3156"/>
      <c r="I72" s="3156"/>
      <c r="J72" s="3156"/>
      <c r="K72" s="3156"/>
      <c r="L72" s="3156"/>
      <c r="M72" s="3156"/>
      <c r="N72" s="3156"/>
      <c r="O72" s="900"/>
      <c r="Q72" s="903"/>
      <c r="R72" s="903"/>
      <c r="S72" s="903"/>
      <c r="T72" s="903"/>
      <c r="U72" s="903"/>
      <c r="V72" s="903"/>
      <c r="W72" s="903"/>
      <c r="X72" s="903"/>
    </row>
    <row r="73" spans="1:29" s="904" customFormat="1" ht="5.25" hidden="1" customHeight="1">
      <c r="A73" s="898"/>
      <c r="B73" s="908"/>
      <c r="C73" s="908"/>
      <c r="D73" s="908"/>
      <c r="E73" s="908"/>
      <c r="F73" s="908"/>
      <c r="G73" s="908"/>
      <c r="H73" s="908"/>
      <c r="I73" s="908"/>
      <c r="J73" s="908"/>
      <c r="K73" s="908"/>
      <c r="L73" s="908"/>
      <c r="M73" s="908"/>
      <c r="N73" s="908"/>
      <c r="O73" s="900"/>
      <c r="Q73" s="903"/>
      <c r="R73" s="903"/>
      <c r="S73" s="903"/>
      <c r="T73" s="903"/>
      <c r="U73" s="903"/>
      <c r="V73" s="903"/>
      <c r="W73" s="903"/>
      <c r="X73" s="903"/>
    </row>
    <row r="74" spans="1:29" s="904" customFormat="1" ht="15.75" hidden="1" customHeight="1">
      <c r="A74" s="898"/>
      <c r="B74" s="908"/>
      <c r="C74" s="908"/>
      <c r="D74" s="908"/>
      <c r="E74" s="908"/>
      <c r="F74" s="908"/>
      <c r="G74" s="908"/>
      <c r="H74" s="908"/>
      <c r="I74" s="908"/>
      <c r="J74" s="908"/>
      <c r="K74" s="908"/>
      <c r="L74" s="908"/>
      <c r="M74" s="908"/>
      <c r="N74" s="908"/>
      <c r="O74" s="900"/>
      <c r="Q74" s="903"/>
      <c r="R74" s="903"/>
      <c r="S74" s="903"/>
      <c r="T74" s="903"/>
      <c r="U74" s="903"/>
      <c r="V74" s="903"/>
      <c r="W74" s="903"/>
      <c r="X74" s="903"/>
    </row>
    <row r="75" spans="1:29" s="904" customFormat="1" ht="9" hidden="1">
      <c r="A75" s="898"/>
      <c r="B75" s="908" t="s">
        <v>951</v>
      </c>
      <c r="C75" s="908"/>
      <c r="D75" s="908"/>
      <c r="E75" s="908"/>
      <c r="F75" s="908"/>
      <c r="G75" s="908"/>
      <c r="H75" s="908"/>
      <c r="I75" s="908"/>
      <c r="J75" s="908"/>
      <c r="K75" s="908"/>
      <c r="L75" s="908"/>
      <c r="M75" s="908"/>
      <c r="N75" s="908"/>
      <c r="O75" s="900"/>
      <c r="Q75" s="903"/>
      <c r="R75" s="903"/>
      <c r="S75" s="903"/>
      <c r="T75" s="903"/>
      <c r="U75" s="903"/>
      <c r="V75" s="903"/>
      <c r="W75" s="903"/>
      <c r="X75" s="903"/>
    </row>
    <row r="76" spans="1:29" s="904" customFormat="1" ht="15" hidden="1" customHeight="1">
      <c r="A76" s="898"/>
      <c r="B76" s="908"/>
      <c r="C76" s="908"/>
      <c r="D76" s="908"/>
      <c r="E76" s="908"/>
      <c r="F76" s="908"/>
      <c r="G76" s="908"/>
      <c r="H76" s="908"/>
      <c r="I76" s="908"/>
      <c r="J76" s="908"/>
      <c r="K76" s="908"/>
      <c r="L76" s="908"/>
      <c r="M76" s="908"/>
      <c r="N76" s="908"/>
      <c r="O76" s="900"/>
      <c r="Q76" s="903"/>
      <c r="R76" s="903"/>
      <c r="S76" s="903"/>
      <c r="T76" s="903"/>
      <c r="U76" s="903"/>
      <c r="V76" s="903"/>
      <c r="W76" s="903"/>
      <c r="X76" s="903"/>
    </row>
    <row r="77" spans="1:29" s="911" customFormat="1" ht="9" hidden="1">
      <c r="A77" s="909"/>
      <c r="B77" s="910" t="s">
        <v>952</v>
      </c>
      <c r="C77" s="910"/>
      <c r="D77" s="910"/>
      <c r="E77" s="910"/>
      <c r="F77" s="910"/>
      <c r="G77" s="910"/>
      <c r="H77" s="910"/>
      <c r="I77" s="910"/>
      <c r="J77" s="910"/>
      <c r="K77" s="910"/>
      <c r="L77" s="910"/>
      <c r="M77" s="910"/>
      <c r="N77" s="910"/>
      <c r="O77" s="900"/>
      <c r="Q77" s="912" t="s">
        <v>953</v>
      </c>
      <c r="R77" s="913"/>
      <c r="S77" s="914">
        <v>42042</v>
      </c>
      <c r="T77" s="913">
        <v>41820</v>
      </c>
      <c r="U77" s="915">
        <v>222</v>
      </c>
      <c r="V77" s="913">
        <v>67764</v>
      </c>
      <c r="W77" s="913"/>
      <c r="X77" s="913"/>
    </row>
    <row r="78" spans="1:29" s="911" customFormat="1" ht="9" hidden="1">
      <c r="A78" s="909"/>
      <c r="B78" s="910"/>
      <c r="C78" s="910"/>
      <c r="D78" s="910"/>
      <c r="E78" s="910"/>
      <c r="F78" s="910"/>
      <c r="G78" s="910"/>
      <c r="H78" s="910"/>
      <c r="I78" s="910"/>
      <c r="J78" s="910"/>
      <c r="K78" s="910"/>
      <c r="L78" s="910"/>
      <c r="M78" s="910"/>
      <c r="N78" s="910"/>
      <c r="O78" s="900"/>
      <c r="Q78" s="912"/>
      <c r="R78" s="913"/>
      <c r="S78" s="914"/>
      <c r="T78" s="913"/>
      <c r="U78" s="915"/>
      <c r="V78" s="913"/>
      <c r="W78" s="913"/>
      <c r="X78" s="913"/>
    </row>
    <row r="79" spans="1:29" s="911" customFormat="1" ht="9" hidden="1">
      <c r="A79" s="909"/>
      <c r="B79" s="916" t="s">
        <v>684</v>
      </c>
      <c r="C79" s="910"/>
      <c r="D79" s="917" t="s">
        <v>1860</v>
      </c>
      <c r="E79" s="910"/>
      <c r="F79" s="918">
        <f>BS!F11-L79</f>
        <v>368828</v>
      </c>
      <c r="G79" s="918"/>
      <c r="H79" s="918">
        <v>0</v>
      </c>
      <c r="I79" s="918"/>
      <c r="J79" s="918">
        <v>0</v>
      </c>
      <c r="K79" s="918"/>
      <c r="L79" s="918">
        <f>'1-4.1'!D550</f>
        <v>0</v>
      </c>
      <c r="M79" s="918"/>
      <c r="N79" s="918">
        <f>SUM(F79:L79)</f>
        <v>368828</v>
      </c>
      <c r="O79" s="919">
        <f>+N79-BS!F11</f>
        <v>0</v>
      </c>
      <c r="P79" s="920"/>
      <c r="Q79" s="912" t="s">
        <v>954</v>
      </c>
      <c r="R79" s="913"/>
      <c r="S79" s="914">
        <v>44377</v>
      </c>
      <c r="T79" s="913">
        <v>41820</v>
      </c>
      <c r="U79" s="915">
        <v>2557</v>
      </c>
      <c r="V79" s="913"/>
      <c r="W79" s="913"/>
      <c r="X79" s="913"/>
    </row>
    <row r="80" spans="1:29" s="911" customFormat="1" ht="9" hidden="1">
      <c r="A80" s="909"/>
      <c r="B80" s="916" t="s">
        <v>686</v>
      </c>
      <c r="C80" s="916"/>
      <c r="D80" s="917"/>
      <c r="E80" s="916"/>
      <c r="F80" s="918"/>
      <c r="G80" s="918"/>
      <c r="H80" s="918"/>
      <c r="I80" s="918"/>
      <c r="J80" s="918"/>
      <c r="K80" s="918"/>
      <c r="L80" s="918"/>
      <c r="M80" s="918"/>
      <c r="N80" s="918"/>
      <c r="O80" s="919"/>
      <c r="P80" s="920"/>
      <c r="Q80" s="912" t="s">
        <v>955</v>
      </c>
      <c r="R80" s="913"/>
      <c r="S80" s="914">
        <v>41890</v>
      </c>
      <c r="T80" s="913">
        <v>41820</v>
      </c>
      <c r="U80" s="915">
        <v>70</v>
      </c>
      <c r="V80" s="913">
        <v>12166</v>
      </c>
      <c r="W80" s="913"/>
      <c r="X80" s="913"/>
    </row>
    <row r="81" spans="1:24" s="911" customFormat="1" ht="15" hidden="1" customHeight="1">
      <c r="A81" s="909"/>
      <c r="B81" s="921" t="s">
        <v>956</v>
      </c>
      <c r="C81" s="916"/>
      <c r="D81" s="917"/>
      <c r="E81" s="916"/>
      <c r="F81" s="922"/>
      <c r="G81" s="918"/>
      <c r="H81" s="922"/>
      <c r="I81" s="918"/>
      <c r="J81" s="922"/>
      <c r="K81" s="918"/>
      <c r="L81" s="922"/>
      <c r="M81" s="918"/>
      <c r="N81" s="922"/>
      <c r="O81" s="919"/>
      <c r="P81" s="920"/>
      <c r="Q81" s="912" t="s">
        <v>957</v>
      </c>
      <c r="R81" s="913"/>
      <c r="S81" s="914">
        <v>43787</v>
      </c>
      <c r="T81" s="913">
        <v>41820</v>
      </c>
      <c r="U81" s="915">
        <v>1967</v>
      </c>
      <c r="V81" s="913"/>
      <c r="W81" s="913"/>
      <c r="X81" s="913"/>
    </row>
    <row r="82" spans="1:24" s="911" customFormat="1" ht="9" hidden="1">
      <c r="A82" s="909"/>
      <c r="B82" s="923" t="s">
        <v>958</v>
      </c>
      <c r="C82" s="916"/>
      <c r="D82" s="917" t="s">
        <v>1679</v>
      </c>
      <c r="E82" s="916"/>
      <c r="F82" s="924">
        <f>'5.1'!K10</f>
        <v>0</v>
      </c>
      <c r="G82" s="918"/>
      <c r="H82" s="924">
        <v>0</v>
      </c>
      <c r="I82" s="918"/>
      <c r="J82" s="924" t="e">
        <f>'5.2.1'!#REF!</f>
        <v>#REF!</v>
      </c>
      <c r="K82" s="918"/>
      <c r="L82" s="924">
        <v>0</v>
      </c>
      <c r="M82" s="918"/>
      <c r="N82" s="924" t="e">
        <f>SUM(F82:L82)</f>
        <v>#REF!</v>
      </c>
      <c r="O82" s="919"/>
      <c r="P82" s="920"/>
      <c r="Q82" s="912" t="s">
        <v>959</v>
      </c>
      <c r="R82" s="913"/>
      <c r="S82" s="914">
        <v>44553</v>
      </c>
      <c r="T82" s="913">
        <v>41820</v>
      </c>
      <c r="U82" s="915">
        <v>2733</v>
      </c>
      <c r="V82" s="913"/>
      <c r="W82" s="913"/>
      <c r="X82" s="913"/>
    </row>
    <row r="83" spans="1:24" s="911" customFormat="1" ht="9" hidden="1">
      <c r="A83" s="909"/>
      <c r="B83" s="923" t="s">
        <v>960</v>
      </c>
      <c r="C83" s="916"/>
      <c r="D83" s="917" t="s">
        <v>1677</v>
      </c>
      <c r="E83" s="916"/>
      <c r="F83" s="924">
        <v>0</v>
      </c>
      <c r="G83" s="918"/>
      <c r="H83" s="924">
        <v>0</v>
      </c>
      <c r="I83" s="918"/>
      <c r="J83" s="924" t="e">
        <f>'1-4.1'!#REF!</f>
        <v>#REF!</v>
      </c>
      <c r="K83" s="918"/>
      <c r="L83" s="924">
        <v>0</v>
      </c>
      <c r="M83" s="918"/>
      <c r="N83" s="924" t="e">
        <f>SUM(F83:L83)</f>
        <v>#REF!</v>
      </c>
      <c r="O83" s="919"/>
      <c r="P83" s="920"/>
      <c r="Q83" s="912" t="s">
        <v>961</v>
      </c>
      <c r="R83" s="913"/>
      <c r="S83" s="914">
        <v>43071</v>
      </c>
      <c r="T83" s="913">
        <v>41820</v>
      </c>
      <c r="U83" s="915">
        <v>1251</v>
      </c>
      <c r="V83" s="913"/>
      <c r="W83" s="913"/>
      <c r="X83" s="913"/>
    </row>
    <row r="84" spans="1:24" s="911" customFormat="1" ht="9" hidden="1">
      <c r="A84" s="909"/>
      <c r="B84" s="923" t="s">
        <v>962</v>
      </c>
      <c r="C84" s="916"/>
      <c r="D84" s="917" t="s">
        <v>1678</v>
      </c>
      <c r="E84" s="916"/>
      <c r="F84" s="924">
        <v>0</v>
      </c>
      <c r="G84" s="918"/>
      <c r="H84" s="924">
        <v>0</v>
      </c>
      <c r="I84" s="918"/>
      <c r="J84" s="924">
        <f>'1-4.1'!D968</f>
        <v>0</v>
      </c>
      <c r="K84" s="918"/>
      <c r="L84" s="924">
        <v>0</v>
      </c>
      <c r="M84" s="918"/>
      <c r="N84" s="924">
        <f>SUM(F84:L84)</f>
        <v>0</v>
      </c>
      <c r="O84" s="919"/>
      <c r="P84" s="920"/>
      <c r="Q84" s="912" t="s">
        <v>963</v>
      </c>
      <c r="R84" s="913"/>
      <c r="S84" s="914">
        <v>44247</v>
      </c>
      <c r="T84" s="913">
        <v>41820</v>
      </c>
      <c r="U84" s="915">
        <v>2427</v>
      </c>
      <c r="V84" s="913"/>
      <c r="W84" s="913"/>
      <c r="X84" s="913"/>
    </row>
    <row r="85" spans="1:24" s="911" customFormat="1" ht="9" hidden="1">
      <c r="A85" s="909"/>
      <c r="B85" s="916"/>
      <c r="C85" s="916"/>
      <c r="D85" s="916"/>
      <c r="E85" s="916"/>
      <c r="F85" s="924"/>
      <c r="G85" s="918"/>
      <c r="H85" s="924"/>
      <c r="I85" s="918"/>
      <c r="J85" s="924"/>
      <c r="K85" s="918"/>
      <c r="L85" s="924"/>
      <c r="M85" s="918"/>
      <c r="N85" s="924"/>
      <c r="O85" s="919"/>
      <c r="P85" s="920"/>
      <c r="Q85" s="912" t="s">
        <v>964</v>
      </c>
      <c r="R85" s="913"/>
      <c r="S85" s="914">
        <v>43177</v>
      </c>
      <c r="T85" s="913">
        <v>41820</v>
      </c>
      <c r="U85" s="915">
        <v>1357</v>
      </c>
      <c r="V85" s="913"/>
      <c r="W85" s="913"/>
      <c r="X85" s="913"/>
    </row>
    <row r="86" spans="1:24" s="911" customFormat="1" ht="9" hidden="1">
      <c r="A86" s="909"/>
      <c r="B86" s="925" t="s">
        <v>848</v>
      </c>
      <c r="C86" s="916"/>
      <c r="D86" s="916"/>
      <c r="E86" s="916"/>
      <c r="F86" s="924"/>
      <c r="G86" s="918"/>
      <c r="H86" s="924"/>
      <c r="I86" s="918"/>
      <c r="J86" s="924"/>
      <c r="K86" s="918"/>
      <c r="L86" s="924"/>
      <c r="M86" s="918"/>
      <c r="N86" s="924"/>
      <c r="O86" s="919"/>
      <c r="P86" s="920"/>
      <c r="Q86" s="912" t="s">
        <v>965</v>
      </c>
      <c r="R86" s="913"/>
      <c r="S86" s="914">
        <v>41897</v>
      </c>
      <c r="T86" s="913">
        <v>41820</v>
      </c>
      <c r="U86" s="915">
        <v>77</v>
      </c>
      <c r="V86" s="913">
        <v>555</v>
      </c>
      <c r="W86" s="913">
        <v>80485</v>
      </c>
      <c r="X86" s="913"/>
    </row>
    <row r="87" spans="1:24" s="911" customFormat="1" ht="9" hidden="1">
      <c r="A87" s="909"/>
      <c r="B87" s="923" t="s">
        <v>958</v>
      </c>
      <c r="C87" s="916"/>
      <c r="D87" s="926" t="s">
        <v>1680</v>
      </c>
      <c r="E87" s="916"/>
      <c r="F87" s="924">
        <v>0</v>
      </c>
      <c r="G87" s="918"/>
      <c r="H87" s="924">
        <v>0</v>
      </c>
      <c r="I87" s="918"/>
      <c r="J87" s="924">
        <f>'1-4.1'!D974</f>
        <v>0</v>
      </c>
      <c r="K87" s="918"/>
      <c r="L87" s="924">
        <v>0</v>
      </c>
      <c r="M87" s="918"/>
      <c r="N87" s="924">
        <f>SUM(F87:L87)</f>
        <v>0</v>
      </c>
      <c r="O87" s="919"/>
      <c r="P87" s="920"/>
      <c r="Q87" s="912" t="s">
        <v>966</v>
      </c>
      <c r="R87" s="913"/>
      <c r="S87" s="914">
        <v>43437</v>
      </c>
      <c r="T87" s="913">
        <v>41820</v>
      </c>
      <c r="U87" s="915">
        <v>1617</v>
      </c>
      <c r="V87" s="913"/>
      <c r="W87" s="913"/>
      <c r="X87" s="913"/>
    </row>
    <row r="88" spans="1:24" s="911" customFormat="1" ht="4.5" hidden="1" customHeight="1">
      <c r="A88" s="909"/>
      <c r="B88" s="916"/>
      <c r="C88" s="916"/>
      <c r="D88" s="916"/>
      <c r="E88" s="916"/>
      <c r="F88" s="924"/>
      <c r="G88" s="918"/>
      <c r="H88" s="924"/>
      <c r="I88" s="918"/>
      <c r="J88" s="924"/>
      <c r="K88" s="918"/>
      <c r="L88" s="924"/>
      <c r="M88" s="918"/>
      <c r="N88" s="924"/>
      <c r="O88" s="919"/>
      <c r="P88" s="920"/>
      <c r="Q88" s="912" t="s">
        <v>964</v>
      </c>
      <c r="R88" s="913"/>
      <c r="S88" s="914">
        <v>43177</v>
      </c>
      <c r="T88" s="913">
        <v>41820</v>
      </c>
      <c r="U88" s="915">
        <v>1357</v>
      </c>
      <c r="V88" s="913"/>
      <c r="W88" s="913"/>
      <c r="X88" s="913"/>
    </row>
    <row r="89" spans="1:24" s="911" customFormat="1" ht="4.5" hidden="1" customHeight="1">
      <c r="A89" s="909"/>
      <c r="B89" s="916"/>
      <c r="C89" s="916"/>
      <c r="D89" s="916"/>
      <c r="E89" s="916"/>
      <c r="F89" s="924"/>
      <c r="G89" s="918"/>
      <c r="H89" s="924"/>
      <c r="I89" s="918"/>
      <c r="J89" s="924"/>
      <c r="K89" s="918"/>
      <c r="L89" s="924"/>
      <c r="M89" s="918"/>
      <c r="N89" s="924"/>
      <c r="O89" s="919"/>
      <c r="P89" s="920"/>
      <c r="Q89" s="912"/>
      <c r="R89" s="913"/>
      <c r="S89" s="914"/>
      <c r="T89" s="913"/>
      <c r="U89" s="915"/>
      <c r="V89" s="913"/>
      <c r="W89" s="913"/>
      <c r="X89" s="913"/>
    </row>
    <row r="90" spans="1:24" s="911" customFormat="1" ht="9" hidden="1">
      <c r="A90" s="909"/>
      <c r="B90" s="925" t="s">
        <v>1034</v>
      </c>
      <c r="C90" s="916"/>
      <c r="D90" s="916"/>
      <c r="E90" s="916"/>
      <c r="F90" s="924"/>
      <c r="G90" s="918"/>
      <c r="H90" s="924"/>
      <c r="I90" s="918"/>
      <c r="J90" s="924"/>
      <c r="K90" s="918"/>
      <c r="L90" s="924"/>
      <c r="M90" s="918"/>
      <c r="N90" s="924"/>
      <c r="O90" s="919"/>
      <c r="P90" s="920"/>
      <c r="Q90" s="912" t="s">
        <v>965</v>
      </c>
      <c r="R90" s="913"/>
      <c r="S90" s="914">
        <v>41897</v>
      </c>
      <c r="T90" s="913">
        <v>41820</v>
      </c>
      <c r="U90" s="915">
        <v>77</v>
      </c>
      <c r="V90" s="913">
        <v>555</v>
      </c>
      <c r="W90" s="913">
        <v>80485</v>
      </c>
      <c r="X90" s="913"/>
    </row>
    <row r="91" spans="1:24" s="911" customFormat="1" ht="9" hidden="1">
      <c r="A91" s="909"/>
      <c r="B91" s="923" t="s">
        <v>1465</v>
      </c>
      <c r="C91" s="916"/>
      <c r="D91" s="926">
        <v>6.5000000000000002E-2</v>
      </c>
      <c r="E91" s="916"/>
      <c r="F91" s="924">
        <v>0</v>
      </c>
      <c r="G91" s="918"/>
      <c r="H91" s="924">
        <v>0</v>
      </c>
      <c r="I91" s="918"/>
      <c r="J91" s="924">
        <f>'1-4.1'!D972</f>
        <v>0</v>
      </c>
      <c r="K91" s="918"/>
      <c r="L91" s="924">
        <v>0</v>
      </c>
      <c r="M91" s="918"/>
      <c r="N91" s="924">
        <f>SUM(F91:L91)</f>
        <v>0</v>
      </c>
      <c r="O91" s="919"/>
      <c r="P91" s="920"/>
      <c r="Q91" s="912" t="s">
        <v>966</v>
      </c>
      <c r="R91" s="913"/>
      <c r="S91" s="914">
        <v>43437</v>
      </c>
      <c r="T91" s="913">
        <v>41820</v>
      </c>
      <c r="U91" s="915">
        <v>1617</v>
      </c>
      <c r="V91" s="913"/>
      <c r="W91" s="913"/>
      <c r="X91" s="913"/>
    </row>
    <row r="92" spans="1:24" s="934" customFormat="1" ht="18.75" hidden="1" customHeight="1">
      <c r="A92" s="927"/>
      <c r="B92" s="928" t="s">
        <v>1464</v>
      </c>
      <c r="C92" s="929"/>
      <c r="D92" s="930">
        <v>7.7200000000000005E-2</v>
      </c>
      <c r="E92" s="929"/>
      <c r="F92" s="931">
        <f>'1-4.1'!D979</f>
        <v>0</v>
      </c>
      <c r="G92" s="932"/>
      <c r="H92" s="931">
        <v>0</v>
      </c>
      <c r="I92" s="932"/>
      <c r="J92" s="931">
        <v>0</v>
      </c>
      <c r="K92" s="932"/>
      <c r="L92" s="931">
        <v>0</v>
      </c>
      <c r="M92" s="932"/>
      <c r="N92" s="931">
        <f>SUM(F92:L92)</f>
        <v>0</v>
      </c>
      <c r="O92" s="919"/>
      <c r="P92" s="933"/>
      <c r="Q92" s="912" t="s">
        <v>966</v>
      </c>
      <c r="R92" s="913"/>
      <c r="S92" s="914">
        <v>43437</v>
      </c>
      <c r="T92" s="913">
        <v>41820</v>
      </c>
      <c r="U92" s="915">
        <v>1617</v>
      </c>
      <c r="V92" s="913"/>
      <c r="W92" s="913"/>
      <c r="X92" s="913"/>
    </row>
    <row r="93" spans="1:24" s="911" customFormat="1" ht="13.5" hidden="1" customHeight="1">
      <c r="A93" s="909"/>
      <c r="B93" s="923"/>
      <c r="C93" s="916"/>
      <c r="D93" s="916"/>
      <c r="E93" s="916"/>
      <c r="F93" s="918">
        <f>SUM(F81:F92)</f>
        <v>0</v>
      </c>
      <c r="G93" s="918">
        <v>0</v>
      </c>
      <c r="H93" s="918">
        <f>SUM(H81:H92)</f>
        <v>0</v>
      </c>
      <c r="I93" s="918">
        <v>0</v>
      </c>
      <c r="J93" s="918" t="e">
        <f>SUM(J81:J92)</f>
        <v>#REF!</v>
      </c>
      <c r="K93" s="918"/>
      <c r="L93" s="918">
        <f>SUM(L81:L92)</f>
        <v>0</v>
      </c>
      <c r="M93" s="918">
        <v>0</v>
      </c>
      <c r="N93" s="918" t="e">
        <f>SUM(N81:N92)</f>
        <v>#REF!</v>
      </c>
      <c r="O93" s="919" t="e">
        <f>+N93-BS!F12</f>
        <v>#REF!</v>
      </c>
      <c r="P93" s="920"/>
      <c r="Q93" s="912" t="s">
        <v>967</v>
      </c>
      <c r="R93" s="913"/>
      <c r="S93" s="913"/>
      <c r="T93" s="913"/>
      <c r="U93" s="913"/>
      <c r="V93" s="913"/>
      <c r="W93" s="913"/>
      <c r="X93" s="913"/>
    </row>
    <row r="94" spans="1:24" s="911" customFormat="1" ht="9" hidden="1">
      <c r="A94" s="909"/>
      <c r="B94" s="916" t="s">
        <v>1449</v>
      </c>
      <c r="C94" s="916"/>
      <c r="D94" s="916"/>
      <c r="E94" s="916"/>
      <c r="F94" s="918">
        <v>0</v>
      </c>
      <c r="G94" s="918"/>
      <c r="H94" s="918">
        <v>0</v>
      </c>
      <c r="I94" s="918"/>
      <c r="J94" s="918">
        <v>0</v>
      </c>
      <c r="K94" s="918"/>
      <c r="L94" s="918">
        <f>BS!F14</f>
        <v>14671</v>
      </c>
      <c r="M94" s="918"/>
      <c r="N94" s="918">
        <f>SUM(F94:L94)</f>
        <v>14671</v>
      </c>
      <c r="O94" s="919"/>
      <c r="P94" s="920"/>
      <c r="Q94" s="912" t="s">
        <v>968</v>
      </c>
      <c r="R94" s="913"/>
      <c r="S94" s="913"/>
      <c r="T94" s="913"/>
      <c r="U94" s="913"/>
      <c r="V94" s="913"/>
      <c r="W94" s="913"/>
      <c r="X94" s="913"/>
    </row>
    <row r="95" spans="1:24" s="911" customFormat="1" ht="9" hidden="1">
      <c r="A95" s="909"/>
      <c r="B95" s="916" t="s">
        <v>925</v>
      </c>
      <c r="C95" s="916"/>
      <c r="D95" s="916"/>
      <c r="E95" s="916"/>
      <c r="F95" s="918">
        <v>0</v>
      </c>
      <c r="G95" s="918"/>
      <c r="H95" s="918">
        <v>0</v>
      </c>
      <c r="I95" s="918"/>
      <c r="J95" s="918">
        <v>0</v>
      </c>
      <c r="K95" s="918"/>
      <c r="L95" s="935" t="e">
        <f>#REF!+#REF!</f>
        <v>#REF!</v>
      </c>
      <c r="M95" s="918"/>
      <c r="N95" s="918" t="e">
        <f>SUM(F95:L95)</f>
        <v>#REF!</v>
      </c>
      <c r="P95" s="920"/>
      <c r="Q95" s="912" t="s">
        <v>969</v>
      </c>
      <c r="R95" s="913"/>
      <c r="S95" s="913"/>
      <c r="T95" s="913"/>
      <c r="U95" s="913"/>
      <c r="V95" s="913"/>
      <c r="W95" s="913"/>
      <c r="X95" s="913"/>
    </row>
    <row r="96" spans="1:24" s="911" customFormat="1" ht="9" hidden="1">
      <c r="A96" s="909"/>
      <c r="B96" s="916" t="s">
        <v>1338</v>
      </c>
      <c r="C96" s="916"/>
      <c r="D96" s="916"/>
      <c r="E96" s="916"/>
      <c r="F96" s="918">
        <v>0</v>
      </c>
      <c r="G96" s="918"/>
      <c r="H96" s="918">
        <v>0</v>
      </c>
      <c r="I96" s="918"/>
      <c r="J96" s="918">
        <v>0</v>
      </c>
      <c r="K96" s="918"/>
      <c r="L96" s="918" t="e">
        <f>BS!#REF!</f>
        <v>#REF!</v>
      </c>
      <c r="M96" s="918"/>
      <c r="N96" s="918" t="e">
        <f>SUM(F96:L96)</f>
        <v>#REF!</v>
      </c>
      <c r="P96" s="920"/>
      <c r="Q96" s="912"/>
      <c r="R96" s="913"/>
      <c r="S96" s="913"/>
      <c r="T96" s="913"/>
      <c r="U96" s="913"/>
      <c r="V96" s="913"/>
      <c r="W96" s="913"/>
      <c r="X96" s="913"/>
    </row>
    <row r="97" spans="1:24" s="911" customFormat="1" ht="9" hidden="1">
      <c r="A97" s="909"/>
      <c r="B97" s="916" t="s">
        <v>1405</v>
      </c>
      <c r="C97" s="916"/>
      <c r="D97" s="916"/>
      <c r="E97" s="916"/>
      <c r="F97" s="936"/>
      <c r="G97" s="936"/>
      <c r="H97" s="936"/>
      <c r="I97" s="936"/>
      <c r="J97" s="936"/>
      <c r="K97" s="936"/>
      <c r="L97" s="936"/>
      <c r="M97" s="936"/>
      <c r="N97" s="936"/>
      <c r="P97" s="920"/>
      <c r="Q97" s="912"/>
      <c r="R97" s="913"/>
      <c r="S97" s="913"/>
      <c r="T97" s="913"/>
      <c r="U97" s="913"/>
      <c r="V97" s="913"/>
      <c r="W97" s="913"/>
      <c r="X97" s="913"/>
    </row>
    <row r="98" spans="1:24" s="911" customFormat="1" ht="9" hidden="1">
      <c r="A98" s="909"/>
      <c r="B98" s="916" t="s">
        <v>1404</v>
      </c>
      <c r="C98" s="916"/>
      <c r="D98" s="916"/>
      <c r="E98" s="916"/>
      <c r="F98" s="918">
        <v>0</v>
      </c>
      <c r="G98" s="918"/>
      <c r="H98" s="918">
        <v>0</v>
      </c>
      <c r="I98" s="918"/>
      <c r="J98" s="918">
        <v>0</v>
      </c>
      <c r="K98" s="918"/>
      <c r="L98" s="918">
        <f>BS!F18</f>
        <v>11748</v>
      </c>
      <c r="M98" s="918"/>
      <c r="N98" s="918">
        <f>SUM(F98:L98)</f>
        <v>11748</v>
      </c>
      <c r="P98" s="920"/>
      <c r="Q98" s="912"/>
      <c r="R98" s="913"/>
      <c r="S98" s="913"/>
      <c r="T98" s="913"/>
      <c r="U98" s="913"/>
      <c r="V98" s="913"/>
      <c r="W98" s="913"/>
      <c r="X98" s="913"/>
    </row>
    <row r="99" spans="1:24" s="911" customFormat="1" ht="9" hidden="1">
      <c r="A99" s="909"/>
      <c r="B99" s="916" t="s">
        <v>1331</v>
      </c>
      <c r="C99" s="916"/>
      <c r="D99" s="916"/>
      <c r="E99" s="916"/>
      <c r="F99" s="918">
        <v>0</v>
      </c>
      <c r="G99" s="918"/>
      <c r="H99" s="918">
        <v>0</v>
      </c>
      <c r="I99" s="918"/>
      <c r="J99" s="918">
        <v>0</v>
      </c>
      <c r="K99" s="918"/>
      <c r="L99" s="918" t="e">
        <f>BS!#REF!</f>
        <v>#REF!</v>
      </c>
      <c r="M99" s="918"/>
      <c r="N99" s="918" t="e">
        <f>SUM(F99:L99)</f>
        <v>#REF!</v>
      </c>
      <c r="P99" s="920"/>
      <c r="Q99" s="912"/>
      <c r="R99" s="913"/>
      <c r="S99" s="913"/>
      <c r="T99" s="913"/>
      <c r="U99" s="913"/>
      <c r="V99" s="913"/>
      <c r="W99" s="913"/>
      <c r="X99" s="913"/>
    </row>
    <row r="100" spans="1:24" s="941" customFormat="1" ht="20.25" hidden="1" customHeight="1" thickBot="1">
      <c r="A100" s="937"/>
      <c r="B100" s="938"/>
      <c r="C100" s="938"/>
      <c r="D100" s="938"/>
      <c r="E100" s="938"/>
      <c r="F100" s="939">
        <f>+F93+F79+SUM(F94:F99)</f>
        <v>368828</v>
      </c>
      <c r="G100" s="938"/>
      <c r="H100" s="939">
        <f>+H93+H79+SUM(H94:H99)</f>
        <v>0</v>
      </c>
      <c r="I100" s="938"/>
      <c r="J100" s="939" t="e">
        <f>+J93+J79+SUM(J94:J99)</f>
        <v>#REF!</v>
      </c>
      <c r="K100" s="938"/>
      <c r="L100" s="939" t="e">
        <f>+L93+L79+SUM(L94:L99)</f>
        <v>#REF!</v>
      </c>
      <c r="M100" s="939"/>
      <c r="N100" s="939" t="e">
        <f>+N93+N79+SUM(N94:N99)</f>
        <v>#REF!</v>
      </c>
      <c r="O100" s="940"/>
      <c r="P100" s="940"/>
      <c r="T100" s="942"/>
      <c r="U100" s="942"/>
      <c r="V100" s="942"/>
      <c r="W100" s="942"/>
      <c r="X100" s="942"/>
    </row>
    <row r="101" spans="1:24" s="911" customFormat="1" ht="9.75" hidden="1" thickTop="1">
      <c r="A101" s="909"/>
      <c r="B101" s="916"/>
      <c r="C101" s="916"/>
      <c r="D101" s="916"/>
      <c r="E101" s="916"/>
      <c r="F101" s="916"/>
      <c r="G101" s="916"/>
      <c r="H101" s="916"/>
      <c r="I101" s="916"/>
      <c r="J101" s="916"/>
      <c r="K101" s="916"/>
      <c r="L101" s="916"/>
      <c r="M101" s="916"/>
      <c r="N101" s="916"/>
      <c r="O101" s="919"/>
      <c r="P101" s="920"/>
      <c r="Q101" s="913"/>
      <c r="R101" s="913"/>
      <c r="S101" s="913"/>
      <c r="T101" s="913"/>
      <c r="U101" s="913"/>
      <c r="V101" s="913"/>
      <c r="W101" s="913"/>
      <c r="X101" s="913"/>
    </row>
    <row r="102" spans="1:24" s="911" customFormat="1" ht="9" hidden="1">
      <c r="A102" s="909"/>
      <c r="B102" s="916"/>
      <c r="C102" s="916"/>
      <c r="D102" s="916"/>
      <c r="E102" s="916"/>
      <c r="F102" s="916"/>
      <c r="G102" s="916"/>
      <c r="H102" s="916"/>
      <c r="I102" s="916"/>
      <c r="J102" s="916"/>
      <c r="K102" s="916"/>
      <c r="L102" s="916"/>
      <c r="M102" s="916"/>
      <c r="N102" s="916"/>
      <c r="O102" s="919"/>
      <c r="P102" s="920"/>
      <c r="Q102" s="913"/>
      <c r="R102" s="913"/>
      <c r="S102" s="913"/>
      <c r="T102" s="913"/>
      <c r="U102" s="913"/>
      <c r="V102" s="913"/>
      <c r="W102" s="913"/>
      <c r="X102" s="913"/>
    </row>
    <row r="103" spans="1:24" s="911" customFormat="1" ht="9" hidden="1">
      <c r="A103" s="909"/>
      <c r="B103" s="910" t="s">
        <v>970</v>
      </c>
      <c r="C103" s="916"/>
      <c r="D103" s="916"/>
      <c r="E103" s="916"/>
      <c r="F103" s="916"/>
      <c r="G103" s="916"/>
      <c r="H103" s="916"/>
      <c r="I103" s="916"/>
      <c r="J103" s="916"/>
      <c r="K103" s="916"/>
      <c r="L103" s="916"/>
      <c r="M103" s="916"/>
      <c r="N103" s="916"/>
      <c r="O103" s="900"/>
      <c r="Q103" s="913"/>
      <c r="R103" s="913"/>
      <c r="S103" s="913"/>
      <c r="T103" s="913"/>
      <c r="U103" s="913"/>
      <c r="V103" s="913"/>
      <c r="W103" s="913"/>
      <c r="X103" s="913"/>
    </row>
    <row r="104" spans="1:24" s="911" customFormat="1" ht="9" hidden="1">
      <c r="A104" s="909"/>
      <c r="B104" s="910"/>
      <c r="C104" s="916"/>
      <c r="D104" s="916"/>
      <c r="E104" s="916"/>
      <c r="F104" s="916"/>
      <c r="G104" s="916"/>
      <c r="H104" s="916"/>
      <c r="I104" s="916"/>
      <c r="J104" s="916"/>
      <c r="K104" s="916"/>
      <c r="L104" s="916"/>
      <c r="M104" s="916"/>
      <c r="N104" s="916"/>
      <c r="O104" s="900"/>
      <c r="Q104" s="913"/>
      <c r="R104" s="913"/>
      <c r="S104" s="913"/>
      <c r="T104" s="913"/>
      <c r="U104" s="913"/>
      <c r="V104" s="913"/>
      <c r="W104" s="913"/>
      <c r="X104" s="913"/>
    </row>
    <row r="105" spans="1:24" s="911" customFormat="1" ht="9" hidden="1">
      <c r="A105" s="909"/>
      <c r="B105" s="916" t="s">
        <v>1045</v>
      </c>
      <c r="C105" s="916"/>
      <c r="D105" s="916"/>
      <c r="E105" s="916"/>
      <c r="F105" s="918">
        <v>0</v>
      </c>
      <c r="G105" s="918"/>
      <c r="H105" s="918">
        <v>0</v>
      </c>
      <c r="I105" s="918"/>
      <c r="J105" s="918">
        <v>0</v>
      </c>
      <c r="K105" s="918"/>
      <c r="L105" s="918">
        <f>BS!F23</f>
        <v>1337</v>
      </c>
      <c r="M105" s="918"/>
      <c r="N105" s="918">
        <f>SUM(F105:L105)</f>
        <v>1337</v>
      </c>
      <c r="O105" s="900"/>
      <c r="Q105" s="913"/>
      <c r="R105" s="913"/>
      <c r="S105" s="913"/>
      <c r="T105" s="913"/>
      <c r="U105" s="913"/>
      <c r="V105" s="913"/>
      <c r="W105" s="913"/>
      <c r="X105" s="913"/>
    </row>
    <row r="106" spans="1:24" s="911" customFormat="1" ht="9" hidden="1">
      <c r="A106" s="909"/>
      <c r="B106" s="943" t="s">
        <v>1527</v>
      </c>
      <c r="C106" s="916"/>
      <c r="D106" s="916"/>
      <c r="E106" s="916"/>
      <c r="F106" s="918"/>
      <c r="G106" s="918"/>
      <c r="H106" s="918"/>
      <c r="I106" s="918"/>
      <c r="J106" s="918"/>
      <c r="K106" s="918"/>
      <c r="L106" s="918"/>
      <c r="M106" s="918"/>
      <c r="N106" s="918">
        <f>SUM(F106:L106)</f>
        <v>0</v>
      </c>
      <c r="O106" s="900"/>
      <c r="Q106" s="913"/>
      <c r="R106" s="913"/>
      <c r="S106" s="913"/>
      <c r="T106" s="913"/>
      <c r="U106" s="913"/>
      <c r="V106" s="913"/>
      <c r="W106" s="913"/>
      <c r="X106" s="913"/>
    </row>
    <row r="107" spans="1:24" s="911" customFormat="1" ht="9" hidden="1">
      <c r="A107" s="909"/>
      <c r="B107" s="943" t="s">
        <v>1406</v>
      </c>
      <c r="C107" s="916"/>
      <c r="D107" s="916"/>
      <c r="E107" s="916"/>
      <c r="F107" s="918">
        <v>0</v>
      </c>
      <c r="G107" s="918"/>
      <c r="H107" s="918">
        <v>0</v>
      </c>
      <c r="I107" s="918"/>
      <c r="J107" s="918">
        <v>0</v>
      </c>
      <c r="K107" s="918"/>
      <c r="L107" s="918">
        <f>BS!F24</f>
        <v>63</v>
      </c>
      <c r="M107" s="918"/>
      <c r="N107" s="918">
        <f>SUM(F107:L107)</f>
        <v>63</v>
      </c>
      <c r="O107" s="900"/>
      <c r="Q107" s="913"/>
      <c r="R107" s="913"/>
      <c r="S107" s="913"/>
      <c r="T107" s="913"/>
      <c r="U107" s="913"/>
      <c r="V107" s="913"/>
      <c r="W107" s="913"/>
      <c r="X107" s="913"/>
    </row>
    <row r="108" spans="1:24" s="911" customFormat="1" ht="9" hidden="1">
      <c r="A108" s="909"/>
      <c r="B108" s="943" t="str">
        <f>B308</f>
        <v>Payable on redemption of units</v>
      </c>
      <c r="C108" s="916"/>
      <c r="D108" s="916"/>
      <c r="E108" s="916"/>
      <c r="F108" s="918">
        <v>0</v>
      </c>
      <c r="G108" s="918"/>
      <c r="H108" s="918">
        <v>0</v>
      </c>
      <c r="I108" s="918"/>
      <c r="J108" s="918">
        <v>0</v>
      </c>
      <c r="K108" s="918"/>
      <c r="L108" s="918">
        <f>BS!F26</f>
        <v>2079</v>
      </c>
      <c r="M108" s="918"/>
      <c r="N108" s="918">
        <f>SUM(F108:L108)</f>
        <v>2079</v>
      </c>
      <c r="O108" s="900"/>
      <c r="Q108" s="913"/>
      <c r="R108" s="913"/>
      <c r="S108" s="913"/>
      <c r="T108" s="913"/>
      <c r="U108" s="913"/>
      <c r="V108" s="913"/>
      <c r="W108" s="913"/>
      <c r="X108" s="913"/>
    </row>
    <row r="109" spans="1:24" s="911" customFormat="1" ht="9" hidden="1">
      <c r="A109" s="909"/>
      <c r="B109" s="916" t="s">
        <v>692</v>
      </c>
      <c r="C109" s="916"/>
      <c r="D109" s="916"/>
      <c r="E109" s="916"/>
      <c r="F109" s="918">
        <v>0</v>
      </c>
      <c r="G109" s="918"/>
      <c r="H109" s="918">
        <v>0</v>
      </c>
      <c r="I109" s="918"/>
      <c r="J109" s="918">
        <v>0</v>
      </c>
      <c r="K109" s="918"/>
      <c r="L109" s="918">
        <v>704</v>
      </c>
      <c r="M109" s="918"/>
      <c r="N109" s="918">
        <f>SUM(F109:L109)</f>
        <v>704</v>
      </c>
      <c r="O109" s="900"/>
      <c r="P109" s="944"/>
      <c r="Q109" s="913"/>
      <c r="R109" s="944"/>
      <c r="S109" s="913"/>
      <c r="T109" s="913"/>
      <c r="U109" s="913"/>
      <c r="V109" s="913"/>
      <c r="W109" s="913"/>
      <c r="X109" s="913"/>
    </row>
    <row r="110" spans="1:24" s="911" customFormat="1" ht="18" hidden="1" customHeight="1" thickBot="1">
      <c r="A110" s="909"/>
      <c r="B110" s="916"/>
      <c r="C110" s="916"/>
      <c r="D110" s="916"/>
      <c r="E110" s="916"/>
      <c r="F110" s="945">
        <f>SUM(F105:F109)</f>
        <v>0</v>
      </c>
      <c r="G110" s="916"/>
      <c r="H110" s="945">
        <f>SUM(H105:H109)</f>
        <v>0</v>
      </c>
      <c r="I110" s="916"/>
      <c r="J110" s="945">
        <f>SUM(J105:J109)</f>
        <v>0</v>
      </c>
      <c r="K110" s="916"/>
      <c r="L110" s="945">
        <f>SUM(L105:L109)</f>
        <v>4183</v>
      </c>
      <c r="M110" s="916"/>
      <c r="N110" s="945">
        <f>SUM(N105:N109)</f>
        <v>4183</v>
      </c>
      <c r="O110" s="900"/>
      <c r="Q110" s="913"/>
      <c r="R110" s="913"/>
      <c r="S110" s="913"/>
      <c r="T110" s="913"/>
      <c r="U110" s="913"/>
      <c r="V110" s="913"/>
      <c r="W110" s="913"/>
      <c r="X110" s="913"/>
    </row>
    <row r="111" spans="1:24" s="911" customFormat="1" ht="9.75" hidden="1" customHeight="1" thickTop="1">
      <c r="A111" s="909"/>
      <c r="B111" s="916"/>
      <c r="C111" s="916"/>
      <c r="D111" s="916"/>
      <c r="E111" s="916"/>
      <c r="F111" s="916"/>
      <c r="G111" s="916"/>
      <c r="H111" s="916"/>
      <c r="I111" s="916"/>
      <c r="J111" s="916"/>
      <c r="K111" s="916"/>
      <c r="L111" s="916"/>
      <c r="M111" s="916"/>
      <c r="N111" s="916"/>
      <c r="O111" s="900"/>
      <c r="Q111" s="913"/>
      <c r="R111" s="913"/>
      <c r="S111" s="913"/>
      <c r="T111" s="913"/>
      <c r="U111" s="913"/>
      <c r="V111" s="913"/>
      <c r="W111" s="913"/>
      <c r="X111" s="913"/>
    </row>
    <row r="112" spans="1:24" s="951" customFormat="1" ht="17.25" hidden="1" customHeight="1" thickBot="1">
      <c r="A112" s="946"/>
      <c r="B112" s="947" t="s">
        <v>971</v>
      </c>
      <c r="C112" s="948"/>
      <c r="D112" s="948"/>
      <c r="E112" s="948"/>
      <c r="F112" s="949">
        <f>+F100-F110</f>
        <v>368828</v>
      </c>
      <c r="G112" s="948"/>
      <c r="H112" s="949">
        <f>+H100-H110</f>
        <v>0</v>
      </c>
      <c r="I112" s="948"/>
      <c r="J112" s="949" t="e">
        <f>+J100-J110</f>
        <v>#REF!</v>
      </c>
      <c r="K112" s="948"/>
      <c r="L112" s="949" t="e">
        <f>+L100-L110</f>
        <v>#REF!</v>
      </c>
      <c r="M112" s="948"/>
      <c r="N112" s="949" t="e">
        <f>+N100-N110</f>
        <v>#REF!</v>
      </c>
      <c r="O112" s="950"/>
    </row>
    <row r="113" spans="1:22" s="911" customFormat="1" ht="3" hidden="1" customHeight="1" thickTop="1">
      <c r="A113" s="909"/>
      <c r="B113" s="910"/>
      <c r="C113" s="916"/>
      <c r="D113" s="916"/>
      <c r="E113" s="916"/>
      <c r="F113" s="916"/>
      <c r="G113" s="916"/>
      <c r="H113" s="916"/>
      <c r="I113" s="916"/>
      <c r="J113" s="916"/>
      <c r="K113" s="916"/>
      <c r="L113" s="916"/>
      <c r="M113" s="916"/>
      <c r="N113" s="916"/>
      <c r="O113" s="952"/>
    </row>
    <row r="114" spans="1:22" s="911" customFormat="1" ht="22.5" hidden="1" customHeight="1" thickBot="1">
      <c r="A114" s="909"/>
      <c r="B114" s="910" t="s">
        <v>972</v>
      </c>
      <c r="C114" s="916"/>
      <c r="D114" s="916"/>
      <c r="E114" s="916"/>
      <c r="F114" s="953">
        <v>0</v>
      </c>
      <c r="G114" s="918"/>
      <c r="H114" s="953">
        <v>0</v>
      </c>
      <c r="I114" s="918"/>
      <c r="J114" s="953">
        <v>0</v>
      </c>
      <c r="K114" s="918"/>
      <c r="L114" s="953">
        <v>0</v>
      </c>
      <c r="M114" s="918"/>
      <c r="N114" s="953">
        <v>0</v>
      </c>
      <c r="O114" s="952"/>
    </row>
    <row r="115" spans="1:22" s="904" customFormat="1" ht="9.75" hidden="1" thickTop="1">
      <c r="A115" s="954"/>
      <c r="B115" s="899"/>
      <c r="C115" s="899"/>
      <c r="D115" s="899"/>
      <c r="E115" s="899"/>
      <c r="F115" s="1516"/>
      <c r="G115" s="955"/>
      <c r="H115" s="955"/>
      <c r="I115" s="955"/>
      <c r="J115" s="955"/>
      <c r="K115" s="955"/>
      <c r="L115" s="955"/>
      <c r="M115" s="955"/>
      <c r="N115" s="955"/>
      <c r="O115" s="952"/>
    </row>
    <row r="116" spans="1:22" s="904" customFormat="1" ht="2.25" hidden="1" customHeight="1">
      <c r="A116" s="954"/>
      <c r="B116" s="899"/>
      <c r="C116" s="899"/>
      <c r="D116" s="899"/>
      <c r="E116" s="899"/>
      <c r="F116" s="1516"/>
      <c r="G116" s="955"/>
      <c r="H116" s="955"/>
      <c r="I116" s="955"/>
      <c r="J116" s="955"/>
      <c r="K116" s="955"/>
      <c r="L116" s="955"/>
      <c r="M116" s="955"/>
      <c r="N116" s="955"/>
      <c r="O116" s="952"/>
    </row>
    <row r="117" spans="1:22" s="904" customFormat="1" ht="9" hidden="1">
      <c r="A117" s="954"/>
      <c r="B117" s="899"/>
      <c r="C117" s="899"/>
      <c r="D117" s="899"/>
      <c r="E117" s="899"/>
      <c r="F117" s="1516"/>
      <c r="G117" s="955"/>
      <c r="H117" s="955"/>
      <c r="I117" s="955"/>
      <c r="J117" s="955"/>
      <c r="K117" s="955"/>
      <c r="L117" s="955"/>
      <c r="M117" s="955"/>
      <c r="N117" s="955"/>
      <c r="O117" s="952"/>
    </row>
    <row r="118" spans="1:22" s="958" customFormat="1" ht="9" hidden="1">
      <c r="A118" s="956"/>
      <c r="B118" s="957"/>
      <c r="C118" s="957"/>
      <c r="D118" s="3161" t="s">
        <v>941</v>
      </c>
      <c r="E118" s="3161"/>
      <c r="F118" s="3161"/>
      <c r="G118" s="3161"/>
      <c r="H118" s="3161"/>
      <c r="I118" s="3161"/>
      <c r="J118" s="3161"/>
      <c r="K118" s="3161"/>
      <c r="L118" s="3161"/>
      <c r="M118" s="3161"/>
      <c r="N118" s="3161"/>
      <c r="O118" s="950"/>
    </row>
    <row r="119" spans="1:22" s="958" customFormat="1" ht="9" hidden="1">
      <c r="A119" s="956"/>
      <c r="B119" s="957"/>
      <c r="C119" s="957"/>
      <c r="D119" s="957"/>
      <c r="E119" s="957"/>
      <c r="F119" s="1519"/>
      <c r="G119" s="959"/>
      <c r="H119" s="959"/>
      <c r="I119" s="959"/>
      <c r="J119" s="959"/>
      <c r="K119" s="959"/>
      <c r="L119" s="959"/>
      <c r="M119" s="959"/>
      <c r="N119" s="959"/>
      <c r="O119" s="950"/>
    </row>
    <row r="120" spans="1:22" s="958" customFormat="1" ht="16.5" hidden="1" customHeight="1">
      <c r="A120" s="956"/>
      <c r="B120" s="957"/>
      <c r="C120" s="957"/>
      <c r="D120" s="3162" t="s">
        <v>942</v>
      </c>
      <c r="E120" s="957"/>
      <c r="F120" s="3162" t="s">
        <v>943</v>
      </c>
      <c r="G120" s="960"/>
      <c r="H120" s="3162" t="s">
        <v>944</v>
      </c>
      <c r="I120" s="961"/>
      <c r="J120" s="3162" t="s">
        <v>945</v>
      </c>
      <c r="K120" s="960"/>
      <c r="L120" s="3162" t="s">
        <v>946</v>
      </c>
      <c r="M120" s="960"/>
      <c r="N120" s="3163" t="s">
        <v>681</v>
      </c>
      <c r="O120" s="950"/>
    </row>
    <row r="121" spans="1:22" s="904" customFormat="1" ht="9" hidden="1">
      <c r="A121" s="954"/>
      <c r="B121" s="899"/>
      <c r="C121" s="899"/>
      <c r="D121" s="3162"/>
      <c r="E121" s="899"/>
      <c r="F121" s="3162"/>
      <c r="G121" s="899"/>
      <c r="H121" s="3162"/>
      <c r="I121" s="899"/>
      <c r="J121" s="3162"/>
      <c r="K121" s="899"/>
      <c r="L121" s="3162"/>
      <c r="M121" s="899"/>
      <c r="N121" s="3163"/>
      <c r="O121" s="952"/>
    </row>
    <row r="122" spans="1:22" s="904" customFormat="1" ht="9" hidden="1">
      <c r="A122" s="954"/>
      <c r="B122" s="899"/>
      <c r="C122" s="899"/>
      <c r="D122" s="3162"/>
      <c r="E122" s="899"/>
      <c r="F122" s="3162"/>
      <c r="G122" s="899"/>
      <c r="H122" s="3162"/>
      <c r="I122" s="899"/>
      <c r="J122" s="3162"/>
      <c r="K122" s="899"/>
      <c r="L122" s="3162"/>
      <c r="M122" s="899"/>
      <c r="N122" s="3163"/>
      <c r="O122" s="952"/>
    </row>
    <row r="123" spans="1:22" s="904" customFormat="1" ht="7.5" hidden="1" customHeight="1">
      <c r="A123" s="954"/>
      <c r="C123" s="899"/>
      <c r="D123" s="3162"/>
      <c r="E123" s="899"/>
      <c r="F123" s="3162"/>
      <c r="G123" s="899"/>
      <c r="H123" s="3162"/>
      <c r="I123" s="899"/>
      <c r="J123" s="3162"/>
      <c r="K123" s="899"/>
      <c r="L123" s="3162"/>
      <c r="M123" s="899"/>
      <c r="N123" s="3163"/>
      <c r="O123" s="952"/>
    </row>
    <row r="124" spans="1:22" s="904" customFormat="1" ht="9" hidden="1">
      <c r="A124" s="954"/>
      <c r="C124" s="899"/>
      <c r="D124" s="899"/>
      <c r="E124" s="899"/>
      <c r="F124" s="3156" t="s">
        <v>950</v>
      </c>
      <c r="G124" s="3156"/>
      <c r="H124" s="3156"/>
      <c r="I124" s="3156"/>
      <c r="J124" s="3156"/>
      <c r="K124" s="3156"/>
      <c r="L124" s="3156"/>
      <c r="M124" s="3156"/>
      <c r="N124" s="3156"/>
      <c r="O124" s="952"/>
    </row>
    <row r="125" spans="1:22" s="904" customFormat="1" ht="9" hidden="1">
      <c r="A125" s="954"/>
      <c r="B125" s="962"/>
      <c r="C125" s="908"/>
      <c r="D125" s="908"/>
      <c r="E125" s="908"/>
      <c r="F125" s="908"/>
      <c r="G125" s="908"/>
      <c r="H125" s="908"/>
      <c r="I125" s="908"/>
      <c r="J125" s="908"/>
      <c r="K125" s="908"/>
      <c r="L125" s="908"/>
      <c r="M125" s="908"/>
      <c r="N125" s="908"/>
      <c r="O125" s="952"/>
      <c r="P125" s="912" t="s">
        <v>953</v>
      </c>
      <c r="Q125" s="913"/>
      <c r="R125" s="914">
        <v>42042</v>
      </c>
      <c r="S125" s="914">
        <v>41455</v>
      </c>
      <c r="T125" s="915">
        <v>587</v>
      </c>
      <c r="U125" s="963">
        <v>11.28</v>
      </c>
      <c r="V125" s="913"/>
    </row>
    <row r="126" spans="1:22" s="904" customFormat="1" ht="5.25" hidden="1" customHeight="1">
      <c r="A126" s="954"/>
      <c r="B126" s="908"/>
      <c r="C126" s="908"/>
      <c r="D126" s="908"/>
      <c r="E126" s="908"/>
      <c r="F126" s="908"/>
      <c r="G126" s="908"/>
      <c r="H126" s="908"/>
      <c r="I126" s="908"/>
      <c r="J126" s="908"/>
      <c r="K126" s="908"/>
      <c r="L126" s="908"/>
      <c r="M126" s="908"/>
      <c r="N126" s="908"/>
      <c r="O126" s="952"/>
      <c r="P126" s="964" t="s">
        <v>954</v>
      </c>
      <c r="Q126" s="913"/>
      <c r="R126" s="914">
        <v>44377</v>
      </c>
      <c r="S126" s="914">
        <v>41455</v>
      </c>
      <c r="T126" s="915">
        <v>2922</v>
      </c>
      <c r="U126" s="963">
        <v>15</v>
      </c>
      <c r="V126" s="913"/>
    </row>
    <row r="127" spans="1:22" s="904" customFormat="1" ht="9" hidden="1">
      <c r="A127" s="954"/>
      <c r="B127" s="908" t="s">
        <v>951</v>
      </c>
      <c r="C127" s="908"/>
      <c r="D127" s="908"/>
      <c r="E127" s="908"/>
      <c r="F127" s="908"/>
      <c r="G127" s="908"/>
      <c r="H127" s="908"/>
      <c r="I127" s="908"/>
      <c r="J127" s="908"/>
      <c r="K127" s="908"/>
      <c r="L127" s="908"/>
      <c r="M127" s="908"/>
      <c r="N127" s="908"/>
      <c r="O127" s="952"/>
      <c r="P127" s="964"/>
      <c r="Q127" s="913"/>
      <c r="R127" s="914"/>
      <c r="S127" s="914"/>
      <c r="T127" s="915"/>
      <c r="U127" s="963"/>
      <c r="V127" s="913"/>
    </row>
    <row r="128" spans="1:22" s="904" customFormat="1" ht="9" hidden="1">
      <c r="A128" s="954"/>
      <c r="B128" s="908"/>
      <c r="C128" s="908"/>
      <c r="D128" s="908"/>
      <c r="E128" s="908"/>
      <c r="F128" s="908"/>
      <c r="G128" s="908"/>
      <c r="H128" s="908"/>
      <c r="I128" s="908"/>
      <c r="J128" s="908"/>
      <c r="K128" s="908"/>
      <c r="L128" s="908"/>
      <c r="M128" s="908"/>
      <c r="N128" s="908"/>
      <c r="O128" s="952"/>
      <c r="P128" s="964"/>
      <c r="Q128" s="913"/>
      <c r="R128" s="914"/>
      <c r="S128" s="914"/>
      <c r="T128" s="915"/>
      <c r="U128" s="963"/>
      <c r="V128" s="913"/>
    </row>
    <row r="129" spans="1:22" s="904" customFormat="1" ht="9" hidden="1">
      <c r="A129" s="954"/>
      <c r="B129" s="910" t="s">
        <v>952</v>
      </c>
      <c r="C129" s="910"/>
      <c r="D129" s="910"/>
      <c r="E129" s="910"/>
      <c r="F129" s="910"/>
      <c r="G129" s="910"/>
      <c r="H129" s="910"/>
      <c r="I129" s="910"/>
      <c r="J129" s="910"/>
      <c r="K129" s="910"/>
      <c r="L129" s="910"/>
      <c r="M129" s="910"/>
      <c r="N129" s="910"/>
      <c r="O129" s="952"/>
      <c r="P129" s="912" t="s">
        <v>955</v>
      </c>
      <c r="Q129" s="913"/>
      <c r="R129" s="914">
        <v>41890</v>
      </c>
      <c r="S129" s="914">
        <v>41455</v>
      </c>
      <c r="T129" s="915">
        <v>435</v>
      </c>
      <c r="U129" s="963">
        <v>11.23</v>
      </c>
      <c r="V129" s="913"/>
    </row>
    <row r="130" spans="1:22" s="904" customFormat="1" ht="9" hidden="1">
      <c r="A130" s="954"/>
      <c r="B130" s="910"/>
      <c r="C130" s="910"/>
      <c r="D130" s="910"/>
      <c r="E130" s="910"/>
      <c r="F130" s="910"/>
      <c r="G130" s="910"/>
      <c r="H130" s="910"/>
      <c r="I130" s="910"/>
      <c r="J130" s="910"/>
      <c r="K130" s="910"/>
      <c r="L130" s="910"/>
      <c r="M130" s="910"/>
      <c r="N130" s="910"/>
      <c r="O130" s="952"/>
      <c r="P130" s="912"/>
      <c r="Q130" s="913"/>
      <c r="R130" s="914"/>
      <c r="S130" s="914"/>
      <c r="T130" s="915"/>
      <c r="U130" s="963"/>
      <c r="V130" s="913"/>
    </row>
    <row r="131" spans="1:22" s="904" customFormat="1" ht="9" hidden="1">
      <c r="A131" s="954"/>
      <c r="B131" s="916" t="s">
        <v>684</v>
      </c>
      <c r="C131" s="910"/>
      <c r="D131" s="917" t="s">
        <v>1399</v>
      </c>
      <c r="E131" s="910"/>
      <c r="F131" s="918">
        <f>BS!H11-L131</f>
        <v>156886</v>
      </c>
      <c r="G131" s="918"/>
      <c r="H131" s="918">
        <v>0</v>
      </c>
      <c r="I131" s="918"/>
      <c r="J131" s="918">
        <v>0</v>
      </c>
      <c r="K131" s="918"/>
      <c r="L131" s="918">
        <f>Lead!M12</f>
        <v>103</v>
      </c>
      <c r="M131" s="918"/>
      <c r="N131" s="918">
        <f>+F131+H131+J131+L131</f>
        <v>156989</v>
      </c>
      <c r="O131" s="952"/>
      <c r="P131" s="912" t="s">
        <v>957</v>
      </c>
      <c r="Q131" s="913"/>
      <c r="R131" s="914">
        <v>43787</v>
      </c>
      <c r="S131" s="914">
        <v>41455</v>
      </c>
      <c r="T131" s="915">
        <v>2332</v>
      </c>
      <c r="U131" s="963">
        <v>12.09</v>
      </c>
      <c r="V131" s="913"/>
    </row>
    <row r="132" spans="1:22" s="904" customFormat="1" ht="9" hidden="1">
      <c r="A132" s="954"/>
      <c r="B132" s="916" t="s">
        <v>686</v>
      </c>
      <c r="C132" s="916"/>
      <c r="D132" s="917"/>
      <c r="E132" s="916"/>
      <c r="F132" s="918"/>
      <c r="G132" s="918"/>
      <c r="H132" s="918"/>
      <c r="I132" s="918"/>
      <c r="J132" s="918"/>
      <c r="K132" s="918"/>
      <c r="L132" s="918"/>
      <c r="M132" s="918"/>
      <c r="N132" s="918"/>
      <c r="O132" s="952"/>
      <c r="P132" s="912" t="s">
        <v>959</v>
      </c>
      <c r="Q132" s="913"/>
      <c r="R132" s="914">
        <v>44553</v>
      </c>
      <c r="S132" s="914">
        <v>41455</v>
      </c>
      <c r="T132" s="915">
        <v>3098</v>
      </c>
      <c r="U132" s="963">
        <v>11.19</v>
      </c>
      <c r="V132" s="913"/>
    </row>
    <row r="133" spans="1:22" s="904" customFormat="1" ht="11.25" hidden="1" customHeight="1">
      <c r="A133" s="954"/>
      <c r="B133" s="965" t="s">
        <v>956</v>
      </c>
      <c r="C133" s="916"/>
      <c r="D133" s="917"/>
      <c r="E133" s="916"/>
      <c r="F133" s="922"/>
      <c r="G133" s="918"/>
      <c r="H133" s="922"/>
      <c r="I133" s="918"/>
      <c r="J133" s="922"/>
      <c r="K133" s="918"/>
      <c r="L133" s="922"/>
      <c r="M133" s="918"/>
      <c r="N133" s="922"/>
      <c r="O133" s="952"/>
      <c r="P133" s="964" t="s">
        <v>961</v>
      </c>
      <c r="Q133" s="913"/>
      <c r="R133" s="914">
        <v>43071</v>
      </c>
      <c r="S133" s="914">
        <v>41455</v>
      </c>
      <c r="T133" s="915">
        <v>1616</v>
      </c>
      <c r="U133" s="963">
        <v>12.08</v>
      </c>
      <c r="V133" s="913"/>
    </row>
    <row r="134" spans="1:22" s="904" customFormat="1" ht="9" hidden="1">
      <c r="A134" s="954"/>
      <c r="B134" s="923" t="s">
        <v>958</v>
      </c>
      <c r="C134" s="916"/>
      <c r="D134" s="917" t="s">
        <v>1400</v>
      </c>
      <c r="E134" s="916"/>
      <c r="F134" s="924">
        <v>74597</v>
      </c>
      <c r="G134" s="918"/>
      <c r="H134" s="924">
        <v>0</v>
      </c>
      <c r="I134" s="918"/>
      <c r="J134" s="924">
        <v>0</v>
      </c>
      <c r="K134" s="918"/>
      <c r="L134" s="924">
        <v>0</v>
      </c>
      <c r="M134" s="918"/>
      <c r="N134" s="924">
        <f>+F134+H134+J134+L134</f>
        <v>74597</v>
      </c>
      <c r="O134" s="966">
        <f>'1-4.1'!I570</f>
        <v>0</v>
      </c>
      <c r="P134" s="912" t="s">
        <v>963</v>
      </c>
      <c r="Q134" s="913"/>
      <c r="R134" s="914">
        <v>44247</v>
      </c>
      <c r="S134" s="914">
        <v>41455</v>
      </c>
      <c r="T134" s="915">
        <v>2792</v>
      </c>
      <c r="U134" s="963">
        <v>10.69</v>
      </c>
      <c r="V134" s="913"/>
    </row>
    <row r="135" spans="1:22" s="904" customFormat="1" ht="9" hidden="1">
      <c r="A135" s="954"/>
      <c r="B135" s="923" t="s">
        <v>960</v>
      </c>
      <c r="C135" s="916"/>
      <c r="D135" s="917" t="s">
        <v>1401</v>
      </c>
      <c r="E135" s="916"/>
      <c r="F135" s="924">
        <v>0</v>
      </c>
      <c r="G135" s="918"/>
      <c r="H135" s="924">
        <v>383330</v>
      </c>
      <c r="I135" s="918"/>
      <c r="J135" s="924">
        <v>0</v>
      </c>
      <c r="K135" s="918"/>
      <c r="L135" s="924">
        <v>0</v>
      </c>
      <c r="M135" s="918"/>
      <c r="N135" s="924">
        <f>SUM(F135:L135)</f>
        <v>383330</v>
      </c>
      <c r="O135" s="966" t="e">
        <f>'1-4.1'!#REF!</f>
        <v>#REF!</v>
      </c>
      <c r="P135" s="964" t="s">
        <v>964</v>
      </c>
      <c r="Q135" s="913"/>
      <c r="R135" s="914">
        <v>43177</v>
      </c>
      <c r="S135" s="914">
        <v>41455</v>
      </c>
      <c r="T135" s="915">
        <v>1722</v>
      </c>
      <c r="U135" s="963">
        <v>11.25</v>
      </c>
      <c r="V135" s="913"/>
    </row>
    <row r="136" spans="1:22" s="904" customFormat="1" ht="9" hidden="1">
      <c r="A136" s="954"/>
      <c r="B136" s="923" t="s">
        <v>962</v>
      </c>
      <c r="C136" s="916"/>
      <c r="D136" s="917" t="s">
        <v>1402</v>
      </c>
      <c r="E136" s="916"/>
      <c r="F136" s="924">
        <v>0</v>
      </c>
      <c r="G136" s="918"/>
      <c r="H136" s="924">
        <v>105141</v>
      </c>
      <c r="I136" s="918"/>
      <c r="J136" s="924">
        <v>0</v>
      </c>
      <c r="K136" s="918"/>
      <c r="L136" s="924">
        <v>0</v>
      </c>
      <c r="M136" s="918"/>
      <c r="N136" s="924">
        <f>SUM(F136:L136)</f>
        <v>105141</v>
      </c>
      <c r="O136" s="966">
        <f>'1-4.1'!I968</f>
        <v>0</v>
      </c>
      <c r="P136" s="912" t="s">
        <v>965</v>
      </c>
      <c r="Q136" s="913"/>
      <c r="R136" s="914">
        <v>41897</v>
      </c>
      <c r="S136" s="914">
        <v>41455</v>
      </c>
      <c r="T136" s="915">
        <v>442</v>
      </c>
      <c r="U136" s="963">
        <v>8</v>
      </c>
      <c r="V136" s="913"/>
    </row>
    <row r="137" spans="1:22" s="904" customFormat="1" ht="6.75" hidden="1" customHeight="1">
      <c r="A137" s="954"/>
      <c r="B137" s="916"/>
      <c r="C137" s="916"/>
      <c r="D137" s="916"/>
      <c r="E137" s="916"/>
      <c r="F137" s="924"/>
      <c r="G137" s="918"/>
      <c r="H137" s="924"/>
      <c r="I137" s="918"/>
      <c r="J137" s="924"/>
      <c r="K137" s="918"/>
      <c r="L137" s="924"/>
      <c r="M137" s="918"/>
      <c r="N137" s="924"/>
      <c r="O137" s="952"/>
      <c r="P137" s="964" t="s">
        <v>966</v>
      </c>
      <c r="Q137" s="913"/>
      <c r="R137" s="914">
        <v>43437</v>
      </c>
      <c r="S137" s="914">
        <v>41455</v>
      </c>
      <c r="T137" s="915">
        <v>1982</v>
      </c>
      <c r="U137" s="963">
        <v>10.29</v>
      </c>
      <c r="V137" s="913"/>
    </row>
    <row r="138" spans="1:22" s="958" customFormat="1" ht="9" hidden="1">
      <c r="A138" s="956"/>
      <c r="B138" s="967" t="s">
        <v>848</v>
      </c>
      <c r="C138" s="948"/>
      <c r="D138" s="948"/>
      <c r="E138" s="948"/>
      <c r="F138" s="924"/>
      <c r="G138" s="968"/>
      <c r="H138" s="924"/>
      <c r="I138" s="968"/>
      <c r="J138" s="924"/>
      <c r="K138" s="968"/>
      <c r="L138" s="924"/>
      <c r="M138" s="968"/>
      <c r="N138" s="924"/>
      <c r="O138" s="950"/>
      <c r="P138" s="969" t="s">
        <v>967</v>
      </c>
      <c r="Q138" s="970"/>
      <c r="R138" s="970"/>
      <c r="S138" s="970"/>
      <c r="T138" s="970"/>
      <c r="U138" s="971">
        <v>11.46</v>
      </c>
      <c r="V138" s="970"/>
    </row>
    <row r="139" spans="1:22" s="958" customFormat="1" ht="9" hidden="1">
      <c r="A139" s="956"/>
      <c r="B139" s="972" t="s">
        <v>958</v>
      </c>
      <c r="C139" s="948"/>
      <c r="D139" s="926" t="s">
        <v>1403</v>
      </c>
      <c r="E139" s="948"/>
      <c r="F139" s="924">
        <v>0</v>
      </c>
      <c r="G139" s="968"/>
      <c r="H139" s="924">
        <v>0</v>
      </c>
      <c r="I139" s="968"/>
      <c r="J139" s="924">
        <v>19598</v>
      </c>
      <c r="K139" s="968"/>
      <c r="L139" s="924">
        <v>0</v>
      </c>
      <c r="M139" s="968"/>
      <c r="N139" s="924">
        <f>+F139+H139+J139+L139</f>
        <v>19598</v>
      </c>
      <c r="O139" s="973">
        <f>'1-4.1'!I974</f>
        <v>0</v>
      </c>
      <c r="P139" s="969" t="s">
        <v>968</v>
      </c>
      <c r="Q139" s="970"/>
      <c r="R139" s="970"/>
      <c r="S139" s="970"/>
      <c r="T139" s="970"/>
      <c r="U139" s="971">
        <v>14.62</v>
      </c>
      <c r="V139" s="970"/>
    </row>
    <row r="140" spans="1:22" s="958" customFormat="1" ht="9" hidden="1">
      <c r="A140" s="956"/>
      <c r="B140" s="972"/>
      <c r="C140" s="948"/>
      <c r="D140" s="926"/>
      <c r="E140" s="948"/>
      <c r="F140" s="924"/>
      <c r="G140" s="968"/>
      <c r="H140" s="924"/>
      <c r="I140" s="968"/>
      <c r="J140" s="924"/>
      <c r="K140" s="968"/>
      <c r="L140" s="924"/>
      <c r="M140" s="968"/>
      <c r="N140" s="924"/>
      <c r="O140" s="973"/>
      <c r="P140" s="969"/>
      <c r="Q140" s="970"/>
      <c r="R140" s="970"/>
      <c r="S140" s="970"/>
      <c r="T140" s="970"/>
      <c r="U140" s="971"/>
      <c r="V140" s="970"/>
    </row>
    <row r="141" spans="1:22" s="958" customFormat="1" ht="9" hidden="1">
      <c r="A141" s="956"/>
      <c r="B141" s="948" t="s">
        <v>1845</v>
      </c>
      <c r="C141" s="948"/>
      <c r="D141" s="926"/>
      <c r="E141" s="948"/>
      <c r="F141" s="924"/>
      <c r="G141" s="968"/>
      <c r="H141" s="924"/>
      <c r="I141" s="968"/>
      <c r="J141" s="924"/>
      <c r="K141" s="968"/>
      <c r="L141" s="924"/>
      <c r="M141" s="968"/>
      <c r="N141" s="924"/>
      <c r="O141" s="973"/>
      <c r="P141" s="969"/>
      <c r="Q141" s="970"/>
      <c r="R141" s="970"/>
      <c r="S141" s="970"/>
      <c r="T141" s="970"/>
      <c r="U141" s="971"/>
      <c r="V141" s="970"/>
    </row>
    <row r="142" spans="1:22" s="958" customFormat="1" ht="9" hidden="1">
      <c r="A142" s="956"/>
      <c r="B142" s="972" t="s">
        <v>1465</v>
      </c>
      <c r="C142" s="948"/>
      <c r="D142" s="926">
        <v>6.5000000000000002E-2</v>
      </c>
      <c r="E142" s="948"/>
      <c r="F142" s="924">
        <v>200000</v>
      </c>
      <c r="G142" s="968"/>
      <c r="H142" s="924">
        <v>0</v>
      </c>
      <c r="I142" s="968"/>
      <c r="J142" s="924">
        <v>0</v>
      </c>
      <c r="K142" s="968"/>
      <c r="L142" s="924">
        <v>0</v>
      </c>
      <c r="M142" s="968"/>
      <c r="N142" s="924">
        <f>+F142+H142+J142+L142</f>
        <v>200000</v>
      </c>
      <c r="O142" s="973"/>
      <c r="P142" s="969"/>
      <c r="Q142" s="970"/>
      <c r="R142" s="970"/>
      <c r="S142" s="970"/>
      <c r="T142" s="970"/>
      <c r="U142" s="971"/>
      <c r="V142" s="970"/>
    </row>
    <row r="143" spans="1:22" s="904" customFormat="1" ht="10.5" hidden="1" customHeight="1">
      <c r="A143" s="954"/>
      <c r="B143" s="972" t="s">
        <v>1464</v>
      </c>
      <c r="C143" s="916"/>
      <c r="D143" s="926">
        <v>7.9000000000000001E-2</v>
      </c>
      <c r="E143" s="916"/>
      <c r="F143" s="974">
        <v>0</v>
      </c>
      <c r="G143" s="918"/>
      <c r="H143" s="974">
        <v>195246</v>
      </c>
      <c r="I143" s="918"/>
      <c r="J143" s="974">
        <v>0</v>
      </c>
      <c r="K143" s="918"/>
      <c r="L143" s="974">
        <v>0</v>
      </c>
      <c r="M143" s="918"/>
      <c r="N143" s="974">
        <f>+F143+H143+J143+L143</f>
        <v>195246</v>
      </c>
      <c r="O143" s="952"/>
      <c r="P143" s="912"/>
      <c r="Q143" s="913"/>
      <c r="R143" s="913"/>
      <c r="S143" s="913"/>
      <c r="T143" s="913"/>
      <c r="U143" s="963"/>
      <c r="V143" s="913"/>
    </row>
    <row r="144" spans="1:22" s="904" customFormat="1" ht="14.25" hidden="1" customHeight="1">
      <c r="A144" s="954"/>
      <c r="B144" s="923"/>
      <c r="C144" s="916"/>
      <c r="D144" s="916"/>
      <c r="E144" s="916"/>
      <c r="F144" s="918">
        <f>SUM(F133:F143)</f>
        <v>274597</v>
      </c>
      <c r="G144" s="918">
        <v>0</v>
      </c>
      <c r="H144" s="918">
        <f>SUM(H133:H143)</f>
        <v>683717</v>
      </c>
      <c r="I144" s="918">
        <v>0</v>
      </c>
      <c r="J144" s="918">
        <f>SUM(J133:J143)</f>
        <v>19598</v>
      </c>
      <c r="K144" s="918"/>
      <c r="L144" s="918">
        <f>SUM(L133:L143)</f>
        <v>0</v>
      </c>
      <c r="M144" s="918">
        <v>0</v>
      </c>
      <c r="N144" s="918">
        <f>SUM(N133:N143)</f>
        <v>977912</v>
      </c>
      <c r="O144" s="952"/>
      <c r="P144" s="912" t="s">
        <v>969</v>
      </c>
      <c r="Q144" s="913"/>
      <c r="R144" s="913"/>
      <c r="S144" s="913"/>
      <c r="T144" s="913"/>
      <c r="U144" s="963">
        <v>11.22</v>
      </c>
      <c r="V144" s="913"/>
    </row>
    <row r="145" spans="1:15" s="904" customFormat="1" ht="9" hidden="1">
      <c r="A145" s="954"/>
      <c r="B145" s="916" t="str">
        <f>B94</f>
        <v>Dividend and profit receivable</v>
      </c>
      <c r="C145" s="916"/>
      <c r="D145" s="916"/>
      <c r="E145" s="916"/>
      <c r="F145" s="918">
        <v>0</v>
      </c>
      <c r="G145" s="918"/>
      <c r="H145" s="918">
        <v>0</v>
      </c>
      <c r="I145" s="918"/>
      <c r="J145" s="918">
        <v>0</v>
      </c>
      <c r="K145" s="918"/>
      <c r="L145" s="918">
        <v>13863</v>
      </c>
      <c r="M145" s="918"/>
      <c r="N145" s="918">
        <f>+F145+H145+J145+L145</f>
        <v>13863</v>
      </c>
      <c r="O145" s="952"/>
    </row>
    <row r="146" spans="1:15" s="904" customFormat="1" ht="9" hidden="1">
      <c r="A146" s="954"/>
      <c r="B146" s="916" t="s">
        <v>925</v>
      </c>
      <c r="C146" s="916"/>
      <c r="D146" s="916"/>
      <c r="E146" s="916"/>
      <c r="F146" s="918">
        <v>0</v>
      </c>
      <c r="G146" s="918"/>
      <c r="H146" s="918">
        <v>0</v>
      </c>
      <c r="I146" s="918"/>
      <c r="J146" s="918">
        <v>0</v>
      </c>
      <c r="K146" s="918"/>
      <c r="L146" s="935">
        <v>2700</v>
      </c>
      <c r="M146" s="918"/>
      <c r="N146" s="918">
        <f>+F146+H146+J146+L146</f>
        <v>2700</v>
      </c>
      <c r="O146" s="952"/>
    </row>
    <row r="147" spans="1:15" s="904" customFormat="1" ht="9" hidden="1">
      <c r="A147" s="954"/>
      <c r="B147" s="916" t="s">
        <v>1338</v>
      </c>
      <c r="C147" s="916"/>
      <c r="D147" s="916"/>
      <c r="E147" s="916"/>
      <c r="F147" s="918">
        <v>0</v>
      </c>
      <c r="G147" s="918"/>
      <c r="H147" s="918">
        <v>0</v>
      </c>
      <c r="I147" s="918"/>
      <c r="J147" s="918">
        <v>0</v>
      </c>
      <c r="K147" s="918"/>
      <c r="L147" s="935">
        <v>10919</v>
      </c>
      <c r="M147" s="918"/>
      <c r="N147" s="918">
        <f>+F147+H147+J147+L147</f>
        <v>10919</v>
      </c>
      <c r="O147" s="952"/>
    </row>
    <row r="148" spans="1:15" s="904" customFormat="1" ht="9" hidden="1">
      <c r="A148" s="954"/>
      <c r="B148" s="916" t="s">
        <v>1846</v>
      </c>
      <c r="C148" s="916"/>
      <c r="D148" s="916"/>
      <c r="E148" s="916"/>
      <c r="F148" s="918"/>
      <c r="G148" s="918"/>
      <c r="H148" s="918"/>
      <c r="I148" s="918"/>
      <c r="J148" s="918"/>
      <c r="K148" s="918"/>
      <c r="L148" s="935"/>
      <c r="M148" s="918"/>
      <c r="N148" s="918"/>
      <c r="O148" s="952"/>
    </row>
    <row r="149" spans="1:15" s="904" customFormat="1" ht="9" hidden="1">
      <c r="A149" s="954"/>
      <c r="B149" s="916" t="s">
        <v>1534</v>
      </c>
      <c r="C149" s="916"/>
      <c r="D149" s="916"/>
      <c r="E149" s="916"/>
      <c r="F149" s="918">
        <v>0</v>
      </c>
      <c r="G149" s="918"/>
      <c r="H149" s="918">
        <v>0</v>
      </c>
      <c r="I149" s="918"/>
      <c r="J149" s="918">
        <v>0</v>
      </c>
      <c r="K149" s="918"/>
      <c r="L149" s="935">
        <v>48021</v>
      </c>
      <c r="M149" s="918"/>
      <c r="N149" s="918">
        <f>+F149+H149+J149+L149</f>
        <v>48021</v>
      </c>
      <c r="O149" s="952"/>
    </row>
    <row r="150" spans="1:15" s="904" customFormat="1" ht="9" hidden="1">
      <c r="A150" s="954"/>
      <c r="B150" s="916" t="s">
        <v>1331</v>
      </c>
      <c r="C150" s="916"/>
      <c r="D150" s="916"/>
      <c r="E150" s="916"/>
      <c r="F150" s="918">
        <v>0</v>
      </c>
      <c r="G150" s="918"/>
      <c r="H150" s="918">
        <v>0</v>
      </c>
      <c r="I150" s="918"/>
      <c r="J150" s="918">
        <v>0</v>
      </c>
      <c r="K150" s="918"/>
      <c r="L150" s="935">
        <v>66813</v>
      </c>
      <c r="M150" s="918"/>
      <c r="N150" s="918">
        <f>+F150+H150+J150+L150</f>
        <v>66813</v>
      </c>
      <c r="O150" s="952"/>
    </row>
    <row r="151" spans="1:15" s="904" customFormat="1" ht="2.25" hidden="1" customHeight="1">
      <c r="A151" s="954"/>
      <c r="B151" s="916"/>
      <c r="C151" s="916"/>
      <c r="D151" s="916"/>
      <c r="E151" s="916"/>
      <c r="F151" s="918">
        <v>0</v>
      </c>
      <c r="G151" s="918"/>
      <c r="H151" s="918">
        <v>0</v>
      </c>
      <c r="I151" s="918"/>
      <c r="J151" s="918">
        <v>0</v>
      </c>
      <c r="K151" s="918"/>
      <c r="L151" s="935"/>
      <c r="M151" s="918"/>
      <c r="N151" s="918"/>
      <c r="O151" s="952"/>
    </row>
    <row r="152" spans="1:15" s="904" customFormat="1" ht="4.5" hidden="1" customHeight="1">
      <c r="A152" s="954"/>
      <c r="B152" s="916"/>
      <c r="C152" s="916"/>
      <c r="D152" s="916"/>
      <c r="E152" s="916"/>
      <c r="F152" s="918"/>
      <c r="G152" s="918"/>
      <c r="H152" s="918"/>
      <c r="I152" s="918"/>
      <c r="J152" s="918"/>
      <c r="K152" s="918"/>
      <c r="L152" s="935"/>
      <c r="M152" s="918"/>
      <c r="N152" s="918"/>
      <c r="O152" s="952"/>
    </row>
    <row r="153" spans="1:15" s="941" customFormat="1" ht="21" hidden="1" customHeight="1" thickBot="1">
      <c r="A153" s="975"/>
      <c r="B153" s="938"/>
      <c r="C153" s="938"/>
      <c r="D153" s="938"/>
      <c r="E153" s="938"/>
      <c r="F153" s="976">
        <f>+F146+F145+F144+F131</f>
        <v>431483</v>
      </c>
      <c r="G153" s="938"/>
      <c r="H153" s="976">
        <f>+H146+H145+H144+H131</f>
        <v>683717</v>
      </c>
      <c r="I153" s="938"/>
      <c r="J153" s="976">
        <f>+J146+J145+J144+J131</f>
        <v>19598</v>
      </c>
      <c r="K153" s="938"/>
      <c r="L153" s="976">
        <f>+L146+L145+L144+L131+L147+L149+L150</f>
        <v>142419</v>
      </c>
      <c r="M153" s="938"/>
      <c r="N153" s="976">
        <f>+N146+N145+N144+N131+N147+N149+N150</f>
        <v>1277217</v>
      </c>
      <c r="O153" s="952"/>
    </row>
    <row r="154" spans="1:15" s="904" customFormat="1" ht="9.75" hidden="1" thickTop="1">
      <c r="A154" s="954"/>
      <c r="B154" s="916"/>
      <c r="C154" s="916"/>
      <c r="D154" s="916"/>
      <c r="E154" s="916"/>
      <c r="F154" s="916"/>
      <c r="G154" s="916"/>
      <c r="H154" s="916"/>
      <c r="I154" s="916"/>
      <c r="J154" s="916"/>
      <c r="K154" s="916"/>
      <c r="L154" s="916"/>
      <c r="M154" s="916"/>
      <c r="N154" s="916"/>
      <c r="O154" s="952"/>
    </row>
    <row r="155" spans="1:15" s="904" customFormat="1" ht="9" hidden="1">
      <c r="A155" s="954"/>
      <c r="B155" s="916"/>
      <c r="C155" s="916"/>
      <c r="D155" s="916"/>
      <c r="E155" s="916"/>
      <c r="F155" s="916"/>
      <c r="G155" s="916"/>
      <c r="H155" s="916"/>
      <c r="I155" s="916"/>
      <c r="J155" s="916"/>
      <c r="K155" s="916"/>
      <c r="L155" s="916"/>
      <c r="M155" s="916"/>
      <c r="N155" s="916"/>
      <c r="O155" s="952"/>
    </row>
    <row r="156" spans="1:15" s="904" customFormat="1" ht="9" hidden="1">
      <c r="A156" s="954"/>
      <c r="B156" s="910" t="s">
        <v>970</v>
      </c>
      <c r="C156" s="916"/>
      <c r="D156" s="916"/>
      <c r="E156" s="916"/>
      <c r="F156" s="916"/>
      <c r="G156" s="916"/>
      <c r="H156" s="916"/>
      <c r="I156" s="916"/>
      <c r="J156" s="916"/>
      <c r="K156" s="916"/>
      <c r="L156" s="916"/>
      <c r="M156" s="916"/>
      <c r="N156" s="916"/>
      <c r="O156" s="952"/>
    </row>
    <row r="157" spans="1:15" s="904" customFormat="1" ht="9" hidden="1">
      <c r="A157" s="954"/>
      <c r="B157" s="910"/>
      <c r="C157" s="916"/>
      <c r="D157" s="916"/>
      <c r="E157" s="916"/>
      <c r="F157" s="916"/>
      <c r="G157" s="916"/>
      <c r="H157" s="916"/>
      <c r="I157" s="916"/>
      <c r="J157" s="916"/>
      <c r="K157" s="916"/>
      <c r="L157" s="916"/>
      <c r="M157" s="916"/>
      <c r="N157" s="916"/>
      <c r="O157" s="952"/>
    </row>
    <row r="158" spans="1:15" s="904" customFormat="1" ht="9" hidden="1">
      <c r="A158" s="954"/>
      <c r="B158" s="916" t="s">
        <v>1045</v>
      </c>
      <c r="C158" s="916"/>
      <c r="D158" s="916"/>
      <c r="E158" s="916"/>
      <c r="F158" s="918">
        <v>0</v>
      </c>
      <c r="G158" s="918"/>
      <c r="H158" s="918">
        <v>0</v>
      </c>
      <c r="I158" s="918"/>
      <c r="J158" s="918">
        <v>0</v>
      </c>
      <c r="K158" s="918"/>
      <c r="L158" s="918">
        <v>2753</v>
      </c>
      <c r="M158" s="918"/>
      <c r="N158" s="918">
        <f>+F158+H158+J158+L158</f>
        <v>2753</v>
      </c>
      <c r="O158" s="952"/>
    </row>
    <row r="159" spans="1:15" s="904" customFormat="1" ht="9" hidden="1">
      <c r="A159" s="954"/>
      <c r="B159" s="943" t="s">
        <v>1527</v>
      </c>
      <c r="C159" s="916"/>
      <c r="D159" s="916"/>
      <c r="E159" s="916"/>
      <c r="F159" s="918"/>
      <c r="G159" s="918"/>
      <c r="H159" s="918"/>
      <c r="I159" s="918"/>
      <c r="J159" s="918"/>
      <c r="K159" s="918"/>
      <c r="L159" s="962"/>
      <c r="M159" s="918"/>
      <c r="N159" s="918"/>
      <c r="O159" s="952"/>
    </row>
    <row r="160" spans="1:15" s="904" customFormat="1" ht="9" hidden="1">
      <c r="A160" s="954"/>
      <c r="B160" s="943" t="s">
        <v>1406</v>
      </c>
      <c r="C160" s="916"/>
      <c r="D160" s="916"/>
      <c r="E160" s="916"/>
      <c r="F160" s="918">
        <v>0</v>
      </c>
      <c r="G160" s="918"/>
      <c r="H160" s="918">
        <v>0</v>
      </c>
      <c r="I160" s="918"/>
      <c r="J160" s="918">
        <v>0</v>
      </c>
      <c r="K160" s="918"/>
      <c r="L160" s="918">
        <f>BS!H24</f>
        <v>48</v>
      </c>
      <c r="M160" s="918"/>
      <c r="N160" s="918">
        <f>+F160+H160+J160+L160</f>
        <v>48</v>
      </c>
      <c r="O160" s="952"/>
    </row>
    <row r="161" spans="1:19" s="904" customFormat="1" ht="9" hidden="1">
      <c r="A161" s="954"/>
      <c r="B161" s="977" t="s">
        <v>973</v>
      </c>
      <c r="C161" s="916"/>
      <c r="D161" s="916"/>
      <c r="E161" s="916"/>
      <c r="F161" s="918">
        <v>0</v>
      </c>
      <c r="G161" s="918"/>
      <c r="H161" s="918">
        <v>0</v>
      </c>
      <c r="I161" s="918"/>
      <c r="J161" s="918">
        <v>0</v>
      </c>
      <c r="K161" s="918"/>
      <c r="L161" s="918">
        <f>BS!H26</f>
        <v>2079</v>
      </c>
      <c r="M161" s="918"/>
      <c r="N161" s="918">
        <f>+F161+H161+J161+L161</f>
        <v>2079</v>
      </c>
      <c r="O161" s="952"/>
    </row>
    <row r="162" spans="1:19" s="904" customFormat="1" ht="9" hidden="1">
      <c r="A162" s="954"/>
      <c r="B162" s="943" t="s">
        <v>1336</v>
      </c>
      <c r="C162" s="916"/>
      <c r="D162" s="916"/>
      <c r="E162" s="916"/>
      <c r="F162" s="918"/>
      <c r="G162" s="918"/>
      <c r="H162" s="918"/>
      <c r="I162" s="918"/>
      <c r="J162" s="918"/>
      <c r="K162" s="918"/>
      <c r="L162" s="918">
        <v>39299</v>
      </c>
      <c r="M162" s="918"/>
      <c r="N162" s="918">
        <f>+F162+H162+J162+L162</f>
        <v>39299</v>
      </c>
      <c r="O162" s="952"/>
    </row>
    <row r="163" spans="1:19" s="904" customFormat="1" ht="9" hidden="1">
      <c r="A163" s="954"/>
      <c r="B163" s="977" t="s">
        <v>692</v>
      </c>
      <c r="C163" s="916"/>
      <c r="D163" s="916"/>
      <c r="E163" s="916"/>
      <c r="F163" s="918">
        <v>0</v>
      </c>
      <c r="G163" s="918"/>
      <c r="H163" s="918">
        <v>0</v>
      </c>
      <c r="I163" s="918"/>
      <c r="J163" s="918">
        <v>0</v>
      </c>
      <c r="K163" s="916"/>
      <c r="L163" s="918">
        <v>4260</v>
      </c>
      <c r="M163" s="918"/>
      <c r="N163" s="918">
        <f>+F163+H163+J163+L163</f>
        <v>4260</v>
      </c>
      <c r="O163" s="952"/>
    </row>
    <row r="164" spans="1:19" s="904" customFormat="1" ht="3.75" hidden="1" customHeight="1">
      <c r="A164" s="954"/>
      <c r="B164" s="977"/>
      <c r="C164" s="916"/>
      <c r="D164" s="916"/>
      <c r="E164" s="916"/>
      <c r="F164" s="918"/>
      <c r="G164" s="918"/>
      <c r="H164" s="918"/>
      <c r="I164" s="918"/>
      <c r="J164" s="918"/>
      <c r="K164" s="916"/>
      <c r="L164" s="918"/>
      <c r="M164" s="918"/>
      <c r="N164" s="918"/>
      <c r="O164" s="952"/>
    </row>
    <row r="165" spans="1:19" s="904" customFormat="1" ht="18" hidden="1" customHeight="1" thickBot="1">
      <c r="A165" s="954"/>
      <c r="B165" s="916"/>
      <c r="C165" s="916"/>
      <c r="D165" s="916"/>
      <c r="E165" s="916"/>
      <c r="F165" s="978">
        <v>0</v>
      </c>
      <c r="G165" s="916"/>
      <c r="H165" s="978">
        <v>0</v>
      </c>
      <c r="I165" s="916"/>
      <c r="J165" s="978">
        <v>0</v>
      </c>
      <c r="K165" s="916"/>
      <c r="L165" s="978">
        <f>SUM(L158:L163)</f>
        <v>48439</v>
      </c>
      <c r="M165" s="916"/>
      <c r="N165" s="978">
        <f>SUM(N158:N163)</f>
        <v>48439</v>
      </c>
      <c r="O165" s="952"/>
    </row>
    <row r="166" spans="1:19" s="904" customFormat="1" ht="9.75" hidden="1" customHeight="1" thickTop="1">
      <c r="A166" s="954"/>
      <c r="B166" s="916"/>
      <c r="C166" s="916"/>
      <c r="D166" s="916"/>
      <c r="E166" s="916"/>
      <c r="F166" s="916"/>
      <c r="G166" s="916"/>
      <c r="H166" s="916"/>
      <c r="I166" s="916"/>
      <c r="J166" s="916"/>
      <c r="K166" s="916"/>
      <c r="L166" s="916"/>
      <c r="M166" s="916"/>
      <c r="N166" s="916"/>
      <c r="O166" s="952"/>
    </row>
    <row r="167" spans="1:19" s="904" customFormat="1" ht="9.75" hidden="1" thickBot="1">
      <c r="A167" s="954"/>
      <c r="B167" s="910" t="s">
        <v>971</v>
      </c>
      <c r="C167" s="916"/>
      <c r="D167" s="916"/>
      <c r="E167" s="916"/>
      <c r="F167" s="979">
        <f>+F153-F165</f>
        <v>431483</v>
      </c>
      <c r="G167" s="916"/>
      <c r="H167" s="979">
        <f>+H153-H165</f>
        <v>683717</v>
      </c>
      <c r="I167" s="916"/>
      <c r="J167" s="979">
        <f>+J153-J165</f>
        <v>19598</v>
      </c>
      <c r="K167" s="916"/>
      <c r="L167" s="979">
        <f>+L153-L165</f>
        <v>93980</v>
      </c>
      <c r="M167" s="916"/>
      <c r="N167" s="979">
        <f>+N153-N165</f>
        <v>1228778</v>
      </c>
      <c r="O167" s="952"/>
    </row>
    <row r="168" spans="1:19" s="904" customFormat="1" ht="3" hidden="1" customHeight="1" thickTop="1">
      <c r="A168" s="954"/>
      <c r="B168" s="910"/>
      <c r="C168" s="916"/>
      <c r="D168" s="916"/>
      <c r="E168" s="916"/>
      <c r="F168" s="916"/>
      <c r="G168" s="916"/>
      <c r="H168" s="916"/>
      <c r="I168" s="916"/>
      <c r="J168" s="916"/>
      <c r="K168" s="916"/>
      <c r="L168" s="916"/>
      <c r="M168" s="916"/>
      <c r="N168" s="916"/>
      <c r="O168" s="952"/>
    </row>
    <row r="169" spans="1:19" s="904" customFormat="1" ht="21.75" hidden="1" customHeight="1" thickBot="1">
      <c r="A169" s="954"/>
      <c r="B169" s="910" t="s">
        <v>972</v>
      </c>
      <c r="C169" s="916"/>
      <c r="D169" s="916"/>
      <c r="E169" s="916"/>
      <c r="F169" s="953">
        <v>0</v>
      </c>
      <c r="G169" s="918"/>
      <c r="H169" s="953">
        <v>0</v>
      </c>
      <c r="I169" s="918"/>
      <c r="J169" s="953">
        <v>0</v>
      </c>
      <c r="K169" s="918"/>
      <c r="L169" s="953">
        <v>0</v>
      </c>
      <c r="M169" s="918"/>
      <c r="N169" s="953">
        <v>0</v>
      </c>
      <c r="O169" s="952"/>
    </row>
    <row r="170" spans="1:19" s="986" customFormat="1" ht="15" hidden="1" customHeight="1" thickTop="1">
      <c r="A170" s="980"/>
      <c r="B170" s="981"/>
      <c r="C170" s="982"/>
      <c r="D170" s="982"/>
      <c r="E170" s="982"/>
      <c r="F170" s="983"/>
      <c r="G170" s="984"/>
      <c r="H170" s="983"/>
      <c r="I170" s="984"/>
      <c r="J170" s="983"/>
      <c r="K170" s="984"/>
      <c r="L170" s="983"/>
      <c r="M170" s="984"/>
      <c r="N170" s="983"/>
      <c r="O170" s="985"/>
    </row>
    <row r="171" spans="1:19" hidden="1">
      <c r="A171" s="873" t="s">
        <v>1494</v>
      </c>
      <c r="B171" s="987" t="s">
        <v>974</v>
      </c>
      <c r="C171" s="988"/>
      <c r="D171" s="988"/>
      <c r="E171" s="988"/>
      <c r="F171" s="988"/>
      <c r="G171" s="988"/>
      <c r="H171" s="988"/>
      <c r="I171" s="988"/>
      <c r="J171" s="988"/>
      <c r="K171" s="988"/>
      <c r="L171" s="988"/>
      <c r="M171" s="988"/>
      <c r="N171" s="988"/>
      <c r="O171" s="989"/>
      <c r="P171" s="861" t="s">
        <v>975</v>
      </c>
      <c r="Q171" s="862">
        <v>90637</v>
      </c>
      <c r="R171" s="862"/>
      <c r="S171" s="862">
        <v>112101</v>
      </c>
    </row>
    <row r="172" spans="1:19" ht="9" hidden="1" customHeight="1">
      <c r="A172" s="880"/>
      <c r="B172" s="987"/>
      <c r="C172" s="988"/>
      <c r="D172" s="988"/>
      <c r="E172" s="988"/>
      <c r="F172" s="988"/>
      <c r="G172" s="988"/>
      <c r="H172" s="988"/>
      <c r="I172" s="988"/>
      <c r="J172" s="988"/>
      <c r="K172" s="988"/>
      <c r="L172" s="988"/>
      <c r="M172" s="988"/>
      <c r="N172" s="988"/>
      <c r="O172" s="989"/>
      <c r="P172" s="861" t="s">
        <v>976</v>
      </c>
      <c r="Q172" s="862">
        <v>321187</v>
      </c>
      <c r="R172" s="862"/>
      <c r="S172" s="862">
        <v>75267</v>
      </c>
    </row>
    <row r="173" spans="1:19" ht="12" hidden="1" customHeight="1">
      <c r="A173" s="880"/>
      <c r="B173" s="3157" t="s">
        <v>1863</v>
      </c>
      <c r="C173" s="3157"/>
      <c r="D173" s="3157"/>
      <c r="E173" s="3157"/>
      <c r="F173" s="3157"/>
      <c r="G173" s="3157"/>
      <c r="H173" s="3157"/>
      <c r="I173" s="3157"/>
      <c r="J173" s="3157"/>
      <c r="K173" s="3157"/>
      <c r="L173" s="3157"/>
      <c r="M173" s="3157"/>
      <c r="N173" s="3157"/>
      <c r="O173" s="989"/>
      <c r="Q173" s="862">
        <f>SUM(Q171:Q172)</f>
        <v>411824</v>
      </c>
      <c r="R173" s="862"/>
      <c r="S173" s="862">
        <f>SUM(S171:S172)</f>
        <v>187368</v>
      </c>
    </row>
    <row r="174" spans="1:19" hidden="1">
      <c r="A174" s="880"/>
      <c r="B174" s="3157"/>
      <c r="C174" s="3157"/>
      <c r="D174" s="3157"/>
      <c r="E174" s="3157"/>
      <c r="F174" s="3157"/>
      <c r="G174" s="3157"/>
      <c r="H174" s="3157"/>
      <c r="I174" s="3157"/>
      <c r="J174" s="3157"/>
      <c r="K174" s="3157"/>
      <c r="L174" s="3157"/>
      <c r="M174" s="3157"/>
      <c r="N174" s="3157"/>
      <c r="O174" s="989"/>
      <c r="Q174" s="990">
        <f>+Q173*1%/1000</f>
        <v>4.1182400000000001</v>
      </c>
      <c r="R174" s="861" t="s">
        <v>977</v>
      </c>
      <c r="S174" s="990">
        <f>+S173*1%/1000</f>
        <v>1.87368</v>
      </c>
    </row>
    <row r="175" spans="1:19" hidden="1">
      <c r="A175" s="880"/>
      <c r="B175" s="3157"/>
      <c r="C175" s="3157"/>
      <c r="D175" s="3157"/>
      <c r="E175" s="3157"/>
      <c r="F175" s="3157"/>
      <c r="G175" s="3157"/>
      <c r="H175" s="3157"/>
      <c r="I175" s="3157"/>
      <c r="J175" s="3157"/>
      <c r="K175" s="3157"/>
      <c r="L175" s="3157"/>
      <c r="M175" s="3157"/>
      <c r="N175" s="3157"/>
      <c r="O175" s="989"/>
      <c r="Q175" s="990"/>
      <c r="S175" s="990"/>
    </row>
    <row r="176" spans="1:19" hidden="1">
      <c r="A176" s="880"/>
      <c r="B176" s="3157"/>
      <c r="C176" s="3157"/>
      <c r="D176" s="3157"/>
      <c r="E176" s="3157"/>
      <c r="F176" s="3157"/>
      <c r="G176" s="3157"/>
      <c r="H176" s="3157"/>
      <c r="I176" s="3157"/>
      <c r="J176" s="3157"/>
      <c r="K176" s="3157"/>
      <c r="L176" s="3157"/>
      <c r="M176" s="3157"/>
      <c r="N176" s="3157"/>
      <c r="O176" s="989"/>
      <c r="Q176" s="990"/>
      <c r="S176" s="990"/>
    </row>
    <row r="177" spans="1:15" hidden="1">
      <c r="A177" s="880"/>
      <c r="B177" s="3157"/>
      <c r="C177" s="3157"/>
      <c r="D177" s="3157"/>
      <c r="E177" s="3157"/>
      <c r="F177" s="3157"/>
      <c r="G177" s="3157"/>
      <c r="H177" s="3157"/>
      <c r="I177" s="3157"/>
      <c r="J177" s="3157"/>
      <c r="K177" s="3157"/>
      <c r="L177" s="3157"/>
      <c r="M177" s="3157"/>
      <c r="N177" s="3157"/>
      <c r="O177" s="989"/>
    </row>
    <row r="178" spans="1:15" hidden="1">
      <c r="A178" s="880"/>
      <c r="B178" s="3157"/>
      <c r="C178" s="3157"/>
      <c r="D178" s="3157"/>
      <c r="E178" s="3157"/>
      <c r="F178" s="3157"/>
      <c r="G178" s="3157"/>
      <c r="H178" s="3157"/>
      <c r="I178" s="3157"/>
      <c r="J178" s="3157"/>
      <c r="K178" s="3157"/>
      <c r="L178" s="3157"/>
      <c r="M178" s="3157"/>
      <c r="N178" s="3157"/>
      <c r="O178" s="989"/>
    </row>
    <row r="179" spans="1:15" ht="12.75" hidden="1" customHeight="1">
      <c r="A179" s="880"/>
      <c r="B179" s="3158" t="s">
        <v>978</v>
      </c>
      <c r="C179" s="3158"/>
      <c r="D179" s="3158"/>
      <c r="E179" s="3158"/>
      <c r="F179" s="3158"/>
      <c r="G179" s="3158"/>
      <c r="H179" s="3158"/>
      <c r="I179" s="3158"/>
      <c r="J179" s="3158"/>
      <c r="K179" s="3158"/>
      <c r="L179" s="3158"/>
      <c r="M179" s="3158"/>
      <c r="N179" s="3158"/>
      <c r="O179" s="989"/>
    </row>
    <row r="180" spans="1:15" hidden="1">
      <c r="A180" s="880"/>
      <c r="B180" s="3158"/>
      <c r="C180" s="3158"/>
      <c r="D180" s="3158"/>
      <c r="E180" s="3158"/>
      <c r="F180" s="3158"/>
      <c r="G180" s="3158"/>
      <c r="H180" s="3158"/>
      <c r="I180" s="3158"/>
      <c r="J180" s="3158"/>
      <c r="K180" s="3158"/>
      <c r="L180" s="3158"/>
      <c r="M180" s="3158"/>
      <c r="N180" s="3158"/>
      <c r="O180" s="989"/>
    </row>
    <row r="181" spans="1:15" hidden="1">
      <c r="A181" s="884">
        <f>'14-17'!A16+0.1</f>
        <v>25.200000000000003</v>
      </c>
      <c r="B181" s="877" t="s">
        <v>979</v>
      </c>
      <c r="C181" s="988"/>
      <c r="D181" s="988"/>
      <c r="E181" s="988"/>
      <c r="F181" s="988"/>
      <c r="G181" s="988"/>
      <c r="H181" s="988"/>
      <c r="I181" s="988"/>
      <c r="J181" s="988"/>
      <c r="K181" s="988"/>
      <c r="L181" s="988"/>
      <c r="M181" s="988"/>
      <c r="N181" s="988"/>
      <c r="O181" s="989"/>
    </row>
    <row r="182" spans="1:15" ht="9" hidden="1" customHeight="1">
      <c r="A182" s="880"/>
      <c r="B182" s="987"/>
      <c r="C182" s="988"/>
      <c r="D182" s="988"/>
      <c r="E182" s="988"/>
      <c r="F182" s="988"/>
      <c r="G182" s="988"/>
      <c r="H182" s="988"/>
      <c r="I182" s="988"/>
      <c r="J182" s="988"/>
      <c r="K182" s="988"/>
      <c r="L182" s="988"/>
      <c r="M182" s="988"/>
      <c r="N182" s="988"/>
      <c r="O182" s="989"/>
    </row>
    <row r="183" spans="1:15" ht="14.25" hidden="1" customHeight="1">
      <c r="A183" s="880"/>
      <c r="B183" s="3107" t="s">
        <v>980</v>
      </c>
      <c r="C183" s="3107"/>
      <c r="D183" s="3107"/>
      <c r="E183" s="3107"/>
      <c r="F183" s="3107"/>
      <c r="G183" s="3107"/>
      <c r="H183" s="3107"/>
      <c r="I183" s="3107"/>
      <c r="J183" s="3107"/>
      <c r="K183" s="3107"/>
      <c r="L183" s="3107"/>
      <c r="M183" s="3107"/>
      <c r="N183" s="3107"/>
      <c r="O183" s="989"/>
    </row>
    <row r="184" spans="1:15" hidden="1">
      <c r="A184" s="880"/>
      <c r="B184" s="3107"/>
      <c r="C184" s="3107"/>
      <c r="D184" s="3107"/>
      <c r="E184" s="3107"/>
      <c r="F184" s="3107"/>
      <c r="G184" s="3107"/>
      <c r="H184" s="3107"/>
      <c r="I184" s="3107"/>
      <c r="J184" s="3107"/>
      <c r="K184" s="3107"/>
      <c r="L184" s="3107"/>
      <c r="M184" s="3107"/>
      <c r="N184" s="3107"/>
      <c r="O184" s="989"/>
    </row>
    <row r="185" spans="1:15" hidden="1">
      <c r="A185" s="880"/>
      <c r="B185" s="3107"/>
      <c r="C185" s="3107"/>
      <c r="D185" s="3107"/>
      <c r="E185" s="3107"/>
      <c r="F185" s="3107"/>
      <c r="G185" s="3107"/>
      <c r="H185" s="3107"/>
      <c r="I185" s="3107"/>
      <c r="J185" s="3107"/>
      <c r="K185" s="3107"/>
      <c r="L185" s="3107"/>
      <c r="M185" s="3107"/>
      <c r="N185" s="3107"/>
      <c r="O185" s="989"/>
    </row>
    <row r="186" spans="1:15" hidden="1">
      <c r="A186" s="880"/>
      <c r="B186" s="3107"/>
      <c r="C186" s="3107"/>
      <c r="D186" s="3107"/>
      <c r="E186" s="3107"/>
      <c r="F186" s="3107"/>
      <c r="G186" s="3107"/>
      <c r="H186" s="3107"/>
      <c r="I186" s="3107"/>
      <c r="J186" s="3107"/>
      <c r="K186" s="3107"/>
      <c r="L186" s="3107"/>
      <c r="M186" s="3107"/>
      <c r="N186" s="3107"/>
      <c r="O186" s="989"/>
    </row>
    <row r="187" spans="1:15" hidden="1">
      <c r="A187" s="880"/>
      <c r="B187" s="3107"/>
      <c r="C187" s="3107"/>
      <c r="D187" s="3107"/>
      <c r="E187" s="3107"/>
      <c r="F187" s="3107"/>
      <c r="G187" s="3107"/>
      <c r="H187" s="3107"/>
      <c r="I187" s="3107"/>
      <c r="J187" s="3107"/>
      <c r="K187" s="3107"/>
      <c r="L187" s="3107"/>
      <c r="M187" s="3107"/>
      <c r="N187" s="3107"/>
      <c r="O187" s="989"/>
    </row>
    <row r="188" spans="1:15" ht="7.5" hidden="1" customHeight="1">
      <c r="A188" s="880"/>
      <c r="B188" s="1517"/>
      <c r="C188" s="1517"/>
      <c r="D188" s="1517"/>
      <c r="E188" s="1517"/>
      <c r="F188" s="1517"/>
      <c r="G188" s="1517"/>
      <c r="H188" s="1517"/>
      <c r="I188" s="1517"/>
      <c r="J188" s="1517"/>
      <c r="K188" s="1517"/>
      <c r="L188" s="1517"/>
      <c r="M188" s="1517"/>
      <c r="N188" s="1517"/>
      <c r="O188" s="989"/>
    </row>
    <row r="189" spans="1:15" hidden="1">
      <c r="A189" s="880"/>
      <c r="B189" s="3155" t="s">
        <v>981</v>
      </c>
      <c r="C189" s="3155"/>
      <c r="D189" s="3155"/>
      <c r="E189" s="3155"/>
      <c r="F189" s="3155"/>
      <c r="G189" s="3155"/>
      <c r="H189" s="3155"/>
      <c r="I189" s="3155"/>
      <c r="J189" s="3155"/>
      <c r="K189" s="3155"/>
      <c r="L189" s="3155"/>
      <c r="M189" s="3155"/>
      <c r="N189" s="3155"/>
      <c r="O189" s="989"/>
    </row>
    <row r="190" spans="1:15" hidden="1">
      <c r="A190" s="880"/>
      <c r="B190" s="3155"/>
      <c r="C190" s="3155"/>
      <c r="D190" s="3155"/>
      <c r="E190" s="3155"/>
      <c r="F190" s="3155"/>
      <c r="G190" s="3155"/>
      <c r="H190" s="3155"/>
      <c r="I190" s="3155"/>
      <c r="J190" s="3155"/>
      <c r="K190" s="3155"/>
      <c r="L190" s="3155"/>
      <c r="M190" s="3155"/>
      <c r="N190" s="3155"/>
      <c r="O190" s="989"/>
    </row>
    <row r="191" spans="1:15" hidden="1">
      <c r="A191" s="880"/>
      <c r="B191" s="3155"/>
      <c r="C191" s="3155"/>
      <c r="D191" s="3155"/>
      <c r="E191" s="3155"/>
      <c r="F191" s="3155"/>
      <c r="G191" s="3155"/>
      <c r="H191" s="3155"/>
      <c r="I191" s="3155"/>
      <c r="J191" s="3155"/>
      <c r="K191" s="3155"/>
      <c r="L191" s="3155"/>
      <c r="M191" s="3155"/>
      <c r="N191" s="3155"/>
      <c r="O191" s="989"/>
    </row>
    <row r="192" spans="1:15" hidden="1">
      <c r="A192" s="880"/>
      <c r="B192" s="3155"/>
      <c r="C192" s="3155"/>
      <c r="D192" s="3155"/>
      <c r="E192" s="3155"/>
      <c r="F192" s="3155"/>
      <c r="G192" s="3155"/>
      <c r="H192" s="3155"/>
      <c r="I192" s="3155"/>
      <c r="J192" s="3155"/>
      <c r="K192" s="3155"/>
      <c r="L192" s="3155"/>
      <c r="M192" s="3155"/>
      <c r="N192" s="3155"/>
      <c r="O192" s="989"/>
    </row>
    <row r="193" spans="1:15" hidden="1">
      <c r="A193" s="880"/>
      <c r="B193" s="3155"/>
      <c r="C193" s="3155"/>
      <c r="D193" s="3155"/>
      <c r="E193" s="3155"/>
      <c r="F193" s="3155"/>
      <c r="G193" s="3155"/>
      <c r="H193" s="3155"/>
      <c r="I193" s="3155"/>
      <c r="J193" s="3155"/>
      <c r="K193" s="3155"/>
      <c r="L193" s="3155"/>
      <c r="M193" s="3155"/>
      <c r="N193" s="3155"/>
      <c r="O193" s="989"/>
    </row>
    <row r="194" spans="1:15" ht="15" hidden="1" customHeight="1">
      <c r="A194" s="880"/>
      <c r="B194" s="3159"/>
      <c r="C194" s="3159"/>
      <c r="D194" s="3159"/>
      <c r="E194" s="3159"/>
      <c r="F194" s="3159"/>
      <c r="G194" s="3159"/>
      <c r="H194" s="3159"/>
      <c r="I194" s="3159"/>
      <c r="J194" s="3159"/>
      <c r="K194" s="3159"/>
      <c r="L194" s="3159"/>
      <c r="M194" s="3159"/>
      <c r="N194" s="3159"/>
      <c r="O194" s="989"/>
    </row>
    <row r="195" spans="1:15" ht="7.5" hidden="1" customHeight="1">
      <c r="A195" s="880"/>
      <c r="B195" s="1518"/>
      <c r="C195" s="1518"/>
      <c r="D195" s="1518"/>
      <c r="E195" s="1518"/>
      <c r="F195" s="1518"/>
      <c r="G195" s="1518"/>
      <c r="H195" s="1518"/>
      <c r="I195" s="1518"/>
      <c r="J195" s="1518"/>
      <c r="K195" s="1518"/>
      <c r="L195" s="1518"/>
      <c r="M195" s="1518"/>
      <c r="N195" s="1518"/>
      <c r="O195" s="989"/>
    </row>
    <row r="196" spans="1:15" hidden="1">
      <c r="A196" s="880"/>
      <c r="B196" s="3107" t="s">
        <v>982</v>
      </c>
      <c r="C196" s="3107"/>
      <c r="D196" s="3107"/>
      <c r="E196" s="3107"/>
      <c r="F196" s="3107"/>
      <c r="G196" s="3107"/>
      <c r="H196" s="3107"/>
      <c r="I196" s="3107"/>
      <c r="J196" s="3107"/>
      <c r="K196" s="3107"/>
      <c r="L196" s="3107"/>
      <c r="M196" s="3107"/>
      <c r="N196" s="3107"/>
      <c r="O196" s="989"/>
    </row>
    <row r="197" spans="1:15" hidden="1">
      <c r="A197" s="880"/>
      <c r="B197" s="3107"/>
      <c r="C197" s="3107"/>
      <c r="D197" s="3107"/>
      <c r="E197" s="3107"/>
      <c r="F197" s="3107"/>
      <c r="G197" s="3107"/>
      <c r="H197" s="3107"/>
      <c r="I197" s="3107"/>
      <c r="J197" s="3107"/>
      <c r="K197" s="3107"/>
      <c r="L197" s="3107"/>
      <c r="M197" s="3107"/>
      <c r="N197" s="3107"/>
      <c r="O197" s="989"/>
    </row>
    <row r="198" spans="1:15" hidden="1">
      <c r="A198" s="880"/>
      <c r="B198" s="3107"/>
      <c r="C198" s="3107"/>
      <c r="D198" s="3107"/>
      <c r="E198" s="3107"/>
      <c r="F198" s="3107"/>
      <c r="G198" s="3107"/>
      <c r="H198" s="3107"/>
      <c r="I198" s="3107"/>
      <c r="J198" s="3107"/>
      <c r="K198" s="3107"/>
      <c r="L198" s="3107"/>
      <c r="M198" s="3107"/>
      <c r="N198" s="3107"/>
      <c r="O198" s="989"/>
    </row>
    <row r="199" spans="1:15" hidden="1">
      <c r="A199" s="880"/>
      <c r="B199" s="3107"/>
      <c r="C199" s="3107"/>
      <c r="D199" s="3107"/>
      <c r="E199" s="3107"/>
      <c r="F199" s="3107"/>
      <c r="G199" s="3107"/>
      <c r="H199" s="3107"/>
      <c r="I199" s="3107"/>
      <c r="J199" s="3107"/>
      <c r="K199" s="3107"/>
      <c r="L199" s="3107"/>
      <c r="M199" s="3107"/>
      <c r="N199" s="3107"/>
      <c r="O199" s="989"/>
    </row>
    <row r="200" spans="1:15" ht="15" hidden="1" customHeight="1">
      <c r="A200" s="880"/>
      <c r="B200" s="1518"/>
      <c r="C200" s="1518"/>
      <c r="D200" s="1518"/>
      <c r="E200" s="1518"/>
      <c r="F200" s="1518"/>
      <c r="G200" s="1518"/>
      <c r="H200" s="1518"/>
      <c r="I200" s="1518"/>
      <c r="J200" s="1518"/>
      <c r="K200" s="1518"/>
      <c r="L200" s="1518"/>
      <c r="M200" s="1518"/>
      <c r="N200" s="1518"/>
      <c r="O200" s="989"/>
    </row>
    <row r="201" spans="1:15" ht="15" hidden="1" customHeight="1">
      <c r="A201" s="880"/>
      <c r="B201" s="1518"/>
      <c r="C201" s="1518"/>
      <c r="D201" s="1518"/>
      <c r="E201" s="1518"/>
      <c r="F201" s="1518"/>
      <c r="G201" s="1518"/>
      <c r="H201" s="1518"/>
      <c r="I201" s="1518"/>
      <c r="J201" s="1518"/>
      <c r="K201" s="1518"/>
      <c r="L201" s="1518"/>
      <c r="M201" s="1518"/>
      <c r="N201" s="1518"/>
      <c r="O201" s="989"/>
    </row>
    <row r="202" spans="1:15" hidden="1">
      <c r="A202" s="880"/>
      <c r="B202" s="3107" t="s">
        <v>983</v>
      </c>
      <c r="C202" s="3107"/>
      <c r="D202" s="3107"/>
      <c r="E202" s="3107"/>
      <c r="F202" s="3107"/>
      <c r="G202" s="3107"/>
      <c r="H202" s="3107"/>
      <c r="I202" s="3107"/>
      <c r="J202" s="3107"/>
      <c r="K202" s="3107"/>
      <c r="L202" s="3107"/>
      <c r="M202" s="3107"/>
      <c r="N202" s="3107"/>
      <c r="O202" s="989"/>
    </row>
    <row r="203" spans="1:15" hidden="1">
      <c r="A203" s="880"/>
      <c r="B203" s="3113"/>
      <c r="C203" s="3113"/>
      <c r="D203" s="3113"/>
      <c r="E203" s="3113"/>
      <c r="F203" s="3113"/>
      <c r="G203" s="3113"/>
      <c r="H203" s="3113"/>
      <c r="I203" s="3113"/>
      <c r="J203" s="3113"/>
      <c r="K203" s="3113"/>
      <c r="L203" s="3113"/>
      <c r="M203" s="3113"/>
      <c r="N203" s="3113"/>
      <c r="O203" s="989"/>
    </row>
    <row r="204" spans="1:15" hidden="1">
      <c r="A204" s="880"/>
      <c r="B204" s="1515"/>
      <c r="C204" s="1515"/>
      <c r="D204" s="1515"/>
      <c r="E204" s="1515"/>
      <c r="F204" s="1515"/>
      <c r="G204" s="1515"/>
      <c r="K204" s="1525"/>
      <c r="L204" s="1522">
        <v>2018</v>
      </c>
      <c r="M204" s="1515"/>
      <c r="N204" s="991">
        <v>2017</v>
      </c>
      <c r="O204" s="989"/>
    </row>
    <row r="205" spans="1:15" hidden="1">
      <c r="A205" s="880"/>
      <c r="B205" s="1515"/>
      <c r="C205" s="1515"/>
      <c r="D205" s="1515"/>
      <c r="E205" s="1515"/>
      <c r="F205" s="1515"/>
      <c r="G205" s="1515"/>
      <c r="K205" s="1525"/>
      <c r="L205" s="3114" t="s">
        <v>707</v>
      </c>
      <c r="M205" s="3154"/>
      <c r="N205" s="3154"/>
      <c r="O205" s="989"/>
    </row>
    <row r="206" spans="1:15" hidden="1">
      <c r="A206" s="880"/>
      <c r="B206" s="1515"/>
      <c r="C206" s="1515"/>
      <c r="D206" s="1515"/>
      <c r="E206" s="1515"/>
      <c r="F206" s="1515"/>
      <c r="G206" s="1515"/>
      <c r="K206" s="992"/>
      <c r="L206" s="1515"/>
      <c r="M206" s="1515"/>
      <c r="N206" s="1515"/>
      <c r="O206" s="989"/>
    </row>
    <row r="207" spans="1:15" hidden="1">
      <c r="A207" s="880"/>
      <c r="B207" s="3155" t="s">
        <v>684</v>
      </c>
      <c r="C207" s="3155"/>
      <c r="D207" s="1515"/>
      <c r="E207" s="1515"/>
      <c r="F207" s="1515"/>
      <c r="G207" s="1515"/>
      <c r="K207" s="993"/>
      <c r="L207" s="994">
        <f>BS!F11</f>
        <v>368828</v>
      </c>
      <c r="M207" s="995"/>
      <c r="N207" s="995">
        <f>BS!H11</f>
        <v>156989</v>
      </c>
      <c r="O207" s="989"/>
    </row>
    <row r="208" spans="1:15" hidden="1">
      <c r="A208" s="880"/>
      <c r="B208" s="3155" t="s">
        <v>984</v>
      </c>
      <c r="C208" s="3155"/>
      <c r="D208" s="1515"/>
      <c r="E208" s="1515"/>
      <c r="F208" s="1515"/>
      <c r="G208" s="1515"/>
      <c r="K208" s="993"/>
      <c r="L208" s="994">
        <f>BS!F12-'1-4.1'!D570-'1-4.1'!D974</f>
        <v>535342.76199999999</v>
      </c>
      <c r="M208" s="995"/>
      <c r="N208" s="995">
        <v>883717</v>
      </c>
      <c r="O208" s="989"/>
    </row>
    <row r="209" spans="1:17" hidden="1">
      <c r="A209" s="880"/>
      <c r="B209" s="3155" t="s">
        <v>1847</v>
      </c>
      <c r="C209" s="3155"/>
      <c r="D209" s="3155"/>
      <c r="E209" s="1515"/>
      <c r="F209" s="1515"/>
      <c r="G209" s="1515"/>
      <c r="K209" s="993"/>
      <c r="L209" s="994">
        <f>BS!F14</f>
        <v>14671</v>
      </c>
      <c r="M209" s="995"/>
      <c r="N209" s="995">
        <v>13863</v>
      </c>
      <c r="O209" s="989"/>
    </row>
    <row r="210" spans="1:17" hidden="1">
      <c r="A210" s="880"/>
      <c r="B210" s="3155" t="s">
        <v>925</v>
      </c>
      <c r="C210" s="3155"/>
      <c r="D210" s="3155"/>
      <c r="E210" s="1515"/>
      <c r="F210" s="1515"/>
      <c r="G210" s="1515"/>
      <c r="K210" s="1525"/>
      <c r="L210" s="996" t="e">
        <f>N95</f>
        <v>#REF!</v>
      </c>
      <c r="M210" s="997"/>
      <c r="N210" s="997">
        <v>2700</v>
      </c>
      <c r="O210" s="989"/>
    </row>
    <row r="211" spans="1:17" hidden="1">
      <c r="A211" s="880"/>
      <c r="B211" s="998" t="e">
        <f>BS!#REF!</f>
        <v>#REF!</v>
      </c>
      <c r="C211" s="865"/>
      <c r="D211" s="1515"/>
      <c r="E211" s="1515"/>
      <c r="F211" s="1515"/>
      <c r="G211" s="1515"/>
      <c r="K211" s="993"/>
      <c r="L211" s="999" t="e">
        <f>BS!#REF!</f>
        <v>#REF!</v>
      </c>
      <c r="M211" s="997"/>
      <c r="N211" s="997">
        <v>1000</v>
      </c>
      <c r="O211" s="989"/>
    </row>
    <row r="212" spans="1:17" hidden="1">
      <c r="A212" s="880"/>
      <c r="B212" s="1000" t="s">
        <v>1338</v>
      </c>
      <c r="C212" s="865"/>
      <c r="D212" s="865"/>
      <c r="E212" s="1515"/>
      <c r="F212" s="1515"/>
      <c r="G212" s="1515"/>
      <c r="K212" s="1525"/>
      <c r="L212" s="999" t="e">
        <f>L96</f>
        <v>#REF!</v>
      </c>
      <c r="M212" s="997"/>
      <c r="N212" s="997">
        <v>10919</v>
      </c>
      <c r="O212" s="861"/>
    </row>
    <row r="213" spans="1:17" hidden="1">
      <c r="A213" s="880"/>
      <c r="B213" s="865" t="s">
        <v>1395</v>
      </c>
      <c r="C213" s="865"/>
      <c r="D213" s="865"/>
      <c r="E213" s="1515"/>
      <c r="F213" s="1515"/>
      <c r="G213" s="1515"/>
      <c r="K213" s="993"/>
      <c r="L213" s="999">
        <f>L98</f>
        <v>11748</v>
      </c>
      <c r="M213" s="997"/>
      <c r="N213" s="997">
        <v>48021</v>
      </c>
      <c r="O213" s="989"/>
    </row>
    <row r="214" spans="1:17" hidden="1">
      <c r="A214" s="880"/>
      <c r="B214" s="865" t="s">
        <v>1331</v>
      </c>
      <c r="C214" s="865"/>
      <c r="D214" s="865"/>
      <c r="E214" s="1515"/>
      <c r="F214" s="1515"/>
      <c r="G214" s="1515"/>
      <c r="K214" s="1525"/>
      <c r="L214" s="999" t="e">
        <f>L99</f>
        <v>#REF!</v>
      </c>
      <c r="M214" s="997"/>
      <c r="N214" s="997">
        <v>66813</v>
      </c>
      <c r="O214" s="989"/>
    </row>
    <row r="215" spans="1:17" ht="6" hidden="1" customHeight="1">
      <c r="A215" s="880"/>
      <c r="B215" s="1000"/>
      <c r="C215" s="865"/>
      <c r="D215" s="865"/>
      <c r="E215" s="1515"/>
      <c r="F215" s="1515"/>
      <c r="G215" s="1515"/>
      <c r="K215" s="1525"/>
      <c r="L215" s="999"/>
      <c r="M215" s="997"/>
      <c r="N215" s="997"/>
      <c r="O215" s="861"/>
    </row>
    <row r="216" spans="1:17" s="870" customFormat="1" ht="24" hidden="1" customHeight="1" thickBot="1">
      <c r="A216" s="1001"/>
      <c r="C216" s="1002"/>
      <c r="D216" s="1002"/>
      <c r="E216" s="1002"/>
      <c r="F216" s="1002"/>
      <c r="G216" s="1002"/>
      <c r="K216" s="1003"/>
      <c r="L216" s="1004" t="e">
        <f>SUM(L207:L214)</f>
        <v>#REF!</v>
      </c>
      <c r="M216" s="1005"/>
      <c r="N216" s="1006">
        <f>SUM(N207:N214)</f>
        <v>1184022</v>
      </c>
    </row>
    <row r="217" spans="1:17" ht="13.5" hidden="1" thickTop="1">
      <c r="A217" s="880"/>
      <c r="B217" s="1515"/>
      <c r="C217" s="1515"/>
      <c r="D217" s="1515"/>
      <c r="E217" s="1515"/>
      <c r="F217" s="1515"/>
      <c r="G217" s="1515"/>
      <c r="H217" s="1515"/>
      <c r="I217" s="1515"/>
      <c r="J217" s="1515"/>
      <c r="K217" s="1525"/>
      <c r="L217" s="1525"/>
      <c r="M217" s="1525"/>
      <c r="N217" s="1525"/>
      <c r="O217" s="861"/>
    </row>
    <row r="218" spans="1:17" ht="14.25" hidden="1" customHeight="1">
      <c r="A218" s="880"/>
      <c r="B218" s="3155" t="s">
        <v>985</v>
      </c>
      <c r="C218" s="3155"/>
      <c r="D218" s="3155"/>
      <c r="E218" s="3155"/>
      <c r="F218" s="3155"/>
      <c r="G218" s="3155"/>
      <c r="H218" s="3155"/>
      <c r="I218" s="3155"/>
      <c r="J218" s="3155"/>
      <c r="K218" s="3155"/>
      <c r="L218" s="3155"/>
      <c r="M218" s="3155"/>
      <c r="N218" s="3155"/>
      <c r="O218" s="861"/>
    </row>
    <row r="219" spans="1:17" ht="15.75" hidden="1" customHeight="1">
      <c r="A219" s="880"/>
      <c r="B219" s="1515"/>
      <c r="C219" s="1515"/>
      <c r="D219" s="1515"/>
      <c r="E219" s="1515"/>
      <c r="F219" s="1515"/>
      <c r="G219" s="1515"/>
      <c r="H219" s="1515"/>
      <c r="I219" s="1515"/>
      <c r="J219" s="1515"/>
      <c r="K219" s="1525"/>
      <c r="L219" s="1525"/>
      <c r="M219" s="1525"/>
      <c r="N219" s="1525"/>
      <c r="O219" s="861"/>
    </row>
    <row r="220" spans="1:17" ht="14.25" hidden="1" customHeight="1">
      <c r="A220" s="880"/>
      <c r="B220" s="3166" t="s">
        <v>986</v>
      </c>
      <c r="C220" s="3166"/>
      <c r="D220" s="3166"/>
      <c r="E220" s="3166"/>
      <c r="F220" s="1515"/>
      <c r="G220" s="1515"/>
      <c r="K220" s="993"/>
      <c r="L220" s="1514"/>
      <c r="M220" s="1515"/>
      <c r="N220" s="1514"/>
      <c r="O220" s="861"/>
      <c r="P220" s="1007">
        <v>1.54</v>
      </c>
      <c r="Q220" s="861">
        <v>1.5</v>
      </c>
    </row>
    <row r="221" spans="1:17" ht="9.75" hidden="1" customHeight="1">
      <c r="A221" s="880"/>
      <c r="B221" s="1523"/>
      <c r="C221" s="1523"/>
      <c r="D221" s="1523"/>
      <c r="E221" s="1523"/>
      <c r="F221" s="1515"/>
      <c r="G221" s="1515"/>
      <c r="K221" s="993"/>
      <c r="L221" s="1514"/>
      <c r="M221" s="1515"/>
      <c r="N221" s="1514"/>
      <c r="O221" s="861"/>
      <c r="P221" s="1007">
        <v>0.62</v>
      </c>
      <c r="Q221" s="861">
        <v>0.6</v>
      </c>
    </row>
    <row r="222" spans="1:17" hidden="1">
      <c r="A222" s="880"/>
      <c r="B222" s="1515"/>
      <c r="C222" s="1515"/>
      <c r="D222" s="3154"/>
      <c r="E222" s="3154"/>
      <c r="F222" s="1515"/>
      <c r="G222" s="1515"/>
      <c r="K222" s="993"/>
      <c r="L222" s="1522">
        <v>2018</v>
      </c>
      <c r="M222" s="1515"/>
      <c r="N222" s="991">
        <v>2017</v>
      </c>
      <c r="O222" s="861"/>
      <c r="P222" s="1007">
        <v>0.03</v>
      </c>
      <c r="Q222" s="861">
        <v>0.1</v>
      </c>
    </row>
    <row r="223" spans="1:17" hidden="1">
      <c r="A223" s="880"/>
      <c r="B223" s="1515"/>
      <c r="C223" s="1515"/>
      <c r="D223" s="1514"/>
      <c r="E223" s="1514"/>
      <c r="F223" s="1515"/>
      <c r="G223" s="1515"/>
      <c r="K223" s="993"/>
      <c r="L223" s="3167" t="s">
        <v>889</v>
      </c>
      <c r="M223" s="3168"/>
      <c r="N223" s="3168"/>
      <c r="O223" s="861"/>
      <c r="P223" s="1007">
        <v>19.5</v>
      </c>
      <c r="Q223" s="861">
        <v>19.5</v>
      </c>
    </row>
    <row r="224" spans="1:17" hidden="1">
      <c r="A224" s="880"/>
      <c r="B224" s="1515"/>
      <c r="C224" s="1515"/>
      <c r="D224" s="1515"/>
      <c r="E224" s="1515"/>
      <c r="F224" s="1515"/>
      <c r="G224" s="1515"/>
      <c r="K224" s="993"/>
      <c r="L224" s="1514"/>
      <c r="M224" s="1514"/>
      <c r="N224" s="1514"/>
      <c r="O224" s="861"/>
      <c r="P224" s="1007">
        <v>78.31</v>
      </c>
      <c r="Q224" s="861">
        <v>0</v>
      </c>
    </row>
    <row r="225" spans="1:19" hidden="1">
      <c r="A225" s="880"/>
      <c r="B225" s="3164" t="s">
        <v>987</v>
      </c>
      <c r="C225" s="3164"/>
      <c r="D225" s="1008"/>
      <c r="E225" s="1008"/>
      <c r="F225" s="1515"/>
      <c r="G225" s="1515"/>
      <c r="K225" s="988"/>
      <c r="L225" s="1009" t="e">
        <f>X1163</f>
        <v>#DIV/0!</v>
      </c>
      <c r="M225" s="1010"/>
      <c r="N225" s="1011">
        <v>2.83</v>
      </c>
      <c r="O225" s="861"/>
      <c r="P225" s="1007"/>
      <c r="Q225" s="861">
        <v>78.3</v>
      </c>
    </row>
    <row r="226" spans="1:19" hidden="1">
      <c r="A226" s="880"/>
      <c r="B226" s="3164" t="s">
        <v>990</v>
      </c>
      <c r="C226" s="3164"/>
      <c r="D226" s="1515"/>
      <c r="E226" s="1515"/>
      <c r="F226" s="1515"/>
      <c r="G226" s="1515"/>
      <c r="K226" s="1525"/>
      <c r="L226" s="1009" t="e">
        <f>X1164</f>
        <v>#DIV/0!</v>
      </c>
      <c r="M226" s="1010"/>
      <c r="N226" s="1011">
        <v>13.15</v>
      </c>
      <c r="O226" s="861"/>
      <c r="P226" s="1007">
        <v>1.5</v>
      </c>
    </row>
    <row r="227" spans="1:19" hidden="1">
      <c r="A227" s="880"/>
      <c r="B227" s="3164" t="s">
        <v>993</v>
      </c>
      <c r="C227" s="3164"/>
      <c r="D227" s="3164"/>
      <c r="E227" s="3164"/>
      <c r="F227" s="1515"/>
      <c r="G227" s="1515"/>
      <c r="K227" s="988"/>
      <c r="L227" s="1009">
        <v>0.1</v>
      </c>
      <c r="M227" s="1010"/>
      <c r="N227" s="1011">
        <v>73.16</v>
      </c>
      <c r="O227" s="861"/>
      <c r="P227" s="1007">
        <v>0.6</v>
      </c>
    </row>
    <row r="228" spans="1:19" hidden="1">
      <c r="A228" s="880"/>
      <c r="B228" s="3164" t="s">
        <v>1434</v>
      </c>
      <c r="C228" s="3164"/>
      <c r="D228" s="1521"/>
      <c r="E228" s="1521"/>
      <c r="F228" s="1515"/>
      <c r="G228" s="1515"/>
      <c r="K228" s="988"/>
      <c r="L228" s="1009" t="e">
        <f>X1167</f>
        <v>#DIV/0!</v>
      </c>
      <c r="M228" s="1010"/>
      <c r="N228" s="1012">
        <v>0.01</v>
      </c>
      <c r="O228" s="861"/>
      <c r="P228" s="1007">
        <v>0</v>
      </c>
    </row>
    <row r="229" spans="1:19" hidden="1">
      <c r="A229" s="880"/>
      <c r="B229" s="3164" t="s">
        <v>1433</v>
      </c>
      <c r="C229" s="3164"/>
      <c r="D229" s="1521"/>
      <c r="E229" s="1521"/>
      <c r="F229" s="1515"/>
      <c r="G229" s="1515"/>
      <c r="K229" s="988"/>
      <c r="L229" s="1009" t="e">
        <f>X1168</f>
        <v>#DIV/0!</v>
      </c>
      <c r="M229" s="1010"/>
      <c r="N229" s="1012">
        <v>10.72</v>
      </c>
      <c r="O229" s="861"/>
      <c r="P229" s="1007">
        <v>19.5</v>
      </c>
    </row>
    <row r="230" spans="1:19" hidden="1">
      <c r="A230" s="880"/>
      <c r="B230" s="3164" t="s">
        <v>1429</v>
      </c>
      <c r="C230" s="3164"/>
      <c r="D230" s="1521"/>
      <c r="E230" s="1521"/>
      <c r="F230" s="1515"/>
      <c r="G230" s="1515"/>
      <c r="K230" s="988"/>
      <c r="L230" s="1009" t="e">
        <f>X1169</f>
        <v>#DIV/0!</v>
      </c>
      <c r="M230" s="1010"/>
      <c r="N230" s="1012">
        <v>0.13</v>
      </c>
      <c r="O230" s="861"/>
      <c r="P230" s="1007">
        <v>78.3</v>
      </c>
    </row>
    <row r="231" spans="1:19" ht="6" hidden="1" customHeight="1">
      <c r="A231" s="880"/>
      <c r="B231" s="1521"/>
      <c r="C231" s="1521"/>
      <c r="D231" s="1521"/>
      <c r="E231" s="1521"/>
      <c r="F231" s="1515"/>
      <c r="G231" s="1515"/>
      <c r="K231" s="988"/>
      <c r="L231" s="1013"/>
      <c r="M231" s="1010"/>
      <c r="N231" s="1012"/>
      <c r="O231" s="861"/>
      <c r="P231" s="1007">
        <v>0.1</v>
      </c>
    </row>
    <row r="232" spans="1:19" s="870" customFormat="1" ht="18.75" hidden="1" customHeight="1" thickBot="1">
      <c r="A232" s="1014"/>
      <c r="B232" s="1002"/>
      <c r="C232" s="1002"/>
      <c r="D232" s="1002"/>
      <c r="E232" s="1002"/>
      <c r="F232" s="1002"/>
      <c r="G232" s="1002"/>
      <c r="K232" s="988"/>
      <c r="L232" s="1015" t="e">
        <f>SUM(L225:L230)</f>
        <v>#DIV/0!</v>
      </c>
      <c r="M232" s="1016"/>
      <c r="N232" s="1017">
        <f>SUM(N225:N230)</f>
        <v>100</v>
      </c>
      <c r="P232" s="1018"/>
    </row>
    <row r="233" spans="1:19" s="1008" customFormat="1" ht="13.5" hidden="1" thickTop="1">
      <c r="A233" s="1019"/>
      <c r="B233" s="1515"/>
      <c r="C233" s="1515"/>
      <c r="D233" s="1515"/>
      <c r="E233" s="1515"/>
      <c r="F233" s="1515"/>
      <c r="G233" s="1515"/>
      <c r="H233" s="1515"/>
      <c r="I233" s="1515"/>
      <c r="J233" s="1515"/>
      <c r="K233" s="1525"/>
      <c r="L233" s="1525"/>
      <c r="M233" s="1525"/>
      <c r="N233" s="1525"/>
    </row>
    <row r="234" spans="1:19" s="1008" customFormat="1" ht="14.25" hidden="1" customHeight="1">
      <c r="A234" s="1019"/>
      <c r="B234" s="3107" t="s">
        <v>996</v>
      </c>
      <c r="C234" s="3113"/>
      <c r="D234" s="3113"/>
      <c r="E234" s="3113"/>
      <c r="F234" s="3113"/>
      <c r="G234" s="3113"/>
      <c r="H234" s="3113"/>
      <c r="I234" s="3113"/>
      <c r="J234" s="3113"/>
      <c r="K234" s="3113"/>
      <c r="L234" s="3113"/>
      <c r="M234" s="3113"/>
      <c r="N234" s="3113"/>
    </row>
    <row r="235" spans="1:19" s="1008" customFormat="1" hidden="1">
      <c r="A235" s="1019"/>
      <c r="B235" s="3113"/>
      <c r="C235" s="3113"/>
      <c r="D235" s="3113"/>
      <c r="E235" s="3113"/>
      <c r="F235" s="3113"/>
      <c r="G235" s="3113"/>
      <c r="H235" s="3113"/>
      <c r="I235" s="3113"/>
      <c r="J235" s="3113"/>
      <c r="K235" s="3113"/>
      <c r="L235" s="3113"/>
      <c r="M235" s="3113"/>
      <c r="N235" s="3113"/>
    </row>
    <row r="236" spans="1:19" s="1008" customFormat="1" ht="10.5" hidden="1" customHeight="1">
      <c r="A236" s="1019"/>
      <c r="B236" s="1020"/>
      <c r="C236" s="1020"/>
      <c r="D236" s="1020"/>
      <c r="E236" s="1020"/>
      <c r="F236" s="1020"/>
      <c r="G236" s="1020"/>
      <c r="H236" s="1020"/>
      <c r="I236" s="1020"/>
      <c r="J236" s="1020"/>
      <c r="K236" s="1020"/>
      <c r="L236" s="1020"/>
      <c r="M236" s="1020"/>
      <c r="N236" s="1020"/>
    </row>
    <row r="237" spans="1:19" s="1008" customFormat="1" hidden="1">
      <c r="A237" s="1019"/>
      <c r="B237" s="1509"/>
      <c r="C237" s="1514" t="s">
        <v>998</v>
      </c>
      <c r="D237" s="1509"/>
      <c r="I237" s="1021"/>
      <c r="J237" s="1509"/>
      <c r="K237" s="988"/>
      <c r="L237" s="1022"/>
      <c r="M237" s="1023"/>
      <c r="N237" s="1022"/>
      <c r="P237" s="1008" t="s">
        <v>845</v>
      </c>
      <c r="R237" s="1008">
        <v>6.1999999999999993</v>
      </c>
      <c r="S237" s="1024">
        <v>42927</v>
      </c>
    </row>
    <row r="238" spans="1:19" s="1008" customFormat="1" hidden="1">
      <c r="A238" s="1019"/>
      <c r="B238" s="1509"/>
      <c r="C238" s="1514"/>
      <c r="D238" s="1509"/>
      <c r="I238" s="1021"/>
      <c r="J238" s="1509"/>
      <c r="K238" s="988"/>
      <c r="L238" s="1022" t="s">
        <v>1530</v>
      </c>
      <c r="M238" s="1023"/>
      <c r="N238" s="1025" t="s">
        <v>896</v>
      </c>
      <c r="P238" s="1008" t="s">
        <v>846</v>
      </c>
      <c r="R238" s="1008">
        <v>6.2999999999999989</v>
      </c>
      <c r="S238" s="1024">
        <v>170108</v>
      </c>
    </row>
    <row r="239" spans="1:19" s="1008" customFormat="1" hidden="1">
      <c r="A239" s="1019"/>
      <c r="B239" s="1509"/>
      <c r="C239" s="1514"/>
      <c r="D239" s="1509"/>
      <c r="I239" s="1021"/>
      <c r="J239" s="1509"/>
      <c r="K239" s="988"/>
      <c r="L239" s="3167" t="s">
        <v>889</v>
      </c>
      <c r="M239" s="3168"/>
      <c r="N239" s="3168"/>
      <c r="P239" s="1008" t="s">
        <v>847</v>
      </c>
      <c r="R239" s="1008">
        <v>6.3999999999999986</v>
      </c>
      <c r="S239" s="1024">
        <v>343518</v>
      </c>
    </row>
    <row r="240" spans="1:19" s="1008" customFormat="1" hidden="1">
      <c r="A240" s="1019"/>
      <c r="B240" s="1509"/>
      <c r="C240" s="1521"/>
      <c r="D240" s="1509"/>
      <c r="I240" s="1509"/>
      <c r="J240" s="1509"/>
      <c r="K240" s="988"/>
      <c r="L240" s="1026"/>
      <c r="M240" s="1509"/>
      <c r="N240" s="1509"/>
      <c r="S240" s="1024"/>
    </row>
    <row r="241" spans="1:19" s="1008" customFormat="1" hidden="1">
      <c r="A241" s="1019"/>
      <c r="B241" s="1509"/>
      <c r="C241" s="1521" t="s">
        <v>1001</v>
      </c>
      <c r="D241" s="1509"/>
      <c r="I241" s="1027"/>
      <c r="J241" s="1027"/>
      <c r="K241" s="1525"/>
      <c r="L241" s="1028">
        <f>((S237+S244)/S252)*100</f>
        <v>6.4732453400980967</v>
      </c>
      <c r="M241" s="1029"/>
      <c r="N241" s="1010">
        <v>9.6300000000000008</v>
      </c>
      <c r="S241" s="1024"/>
    </row>
    <row r="242" spans="1:19" s="1008" customFormat="1" hidden="1">
      <c r="A242" s="1019"/>
      <c r="B242" s="1509"/>
      <c r="C242" s="1521" t="s">
        <v>1002</v>
      </c>
      <c r="D242" s="1509"/>
      <c r="I242" s="1027"/>
      <c r="J242" s="1027"/>
      <c r="K242" s="1525"/>
      <c r="L242" s="1028">
        <f>L244-L241</f>
        <v>93.526754659901897</v>
      </c>
      <c r="M242" s="1029"/>
      <c r="N242" s="1010">
        <v>90.37</v>
      </c>
      <c r="P242" s="1008" t="s">
        <v>848</v>
      </c>
      <c r="S242" s="1024"/>
    </row>
    <row r="243" spans="1:19" s="1008" customFormat="1" ht="6" hidden="1" customHeight="1">
      <c r="A243" s="1019"/>
      <c r="B243" s="1509"/>
      <c r="C243" s="1521"/>
      <c r="D243" s="1509"/>
      <c r="I243" s="1027"/>
      <c r="J243" s="1027"/>
      <c r="K243" s="1525"/>
      <c r="L243" s="1030"/>
      <c r="M243" s="1029"/>
      <c r="N243" s="1010"/>
      <c r="S243" s="1024"/>
    </row>
    <row r="244" spans="1:19" s="870" customFormat="1" ht="21" hidden="1" customHeight="1" thickBot="1">
      <c r="A244" s="1014"/>
      <c r="B244" s="1508"/>
      <c r="C244" s="1508"/>
      <c r="D244" s="1508"/>
      <c r="I244" s="1031"/>
      <c r="J244" s="1031"/>
      <c r="K244" s="1003"/>
      <c r="L244" s="1015">
        <v>100</v>
      </c>
      <c r="M244" s="1016"/>
      <c r="N244" s="1017">
        <f>SUM(N241:N242)</f>
        <v>100</v>
      </c>
      <c r="P244" s="870" t="s">
        <v>845</v>
      </c>
      <c r="R244" s="870">
        <v>6.4999999999999982</v>
      </c>
      <c r="S244" s="1032">
        <v>810</v>
      </c>
    </row>
    <row r="245" spans="1:19" s="1008" customFormat="1" ht="6.75" hidden="1" customHeight="1" thickTop="1">
      <c r="A245" s="1019"/>
      <c r="B245" s="874"/>
      <c r="C245" s="861"/>
      <c r="D245" s="861"/>
      <c r="E245" s="1509"/>
      <c r="F245" s="861"/>
      <c r="G245" s="861"/>
      <c r="H245" s="861"/>
      <c r="I245" s="861"/>
      <c r="J245" s="861"/>
      <c r="K245" s="1525"/>
      <c r="L245" s="1525"/>
      <c r="M245" s="1525"/>
      <c r="N245" s="1525"/>
      <c r="S245" s="1024"/>
    </row>
    <row r="246" spans="1:19" s="1008" customFormat="1" hidden="1">
      <c r="A246" s="1019"/>
      <c r="B246" s="3165" t="s">
        <v>1006</v>
      </c>
      <c r="C246" s="3165"/>
      <c r="D246" s="3165"/>
      <c r="E246" s="1033"/>
      <c r="F246" s="1033"/>
      <c r="G246" s="1033"/>
      <c r="H246" s="1033"/>
      <c r="I246" s="1033"/>
      <c r="J246" s="1033"/>
      <c r="K246" s="1033"/>
      <c r="L246" s="1033"/>
      <c r="M246" s="1033"/>
      <c r="N246" s="1525"/>
      <c r="P246" s="1008" t="s">
        <v>1034</v>
      </c>
      <c r="S246" s="1024"/>
    </row>
    <row r="247" spans="1:19" s="1008" customFormat="1" hidden="1">
      <c r="A247" s="1019"/>
      <c r="B247" s="1033"/>
      <c r="C247" s="1033"/>
      <c r="D247" s="1033"/>
      <c r="E247" s="1033"/>
      <c r="F247" s="1033"/>
      <c r="G247" s="1033"/>
      <c r="H247" s="1033"/>
      <c r="I247" s="1033"/>
      <c r="J247" s="1033"/>
      <c r="K247" s="1033"/>
      <c r="L247" s="1033"/>
      <c r="M247" s="1033"/>
      <c r="N247" s="1525"/>
      <c r="S247" s="1024"/>
    </row>
    <row r="248" spans="1:19" s="1008" customFormat="1" hidden="1">
      <c r="A248" s="1019"/>
      <c r="B248" s="3169" t="s">
        <v>1008</v>
      </c>
      <c r="C248" s="3169"/>
      <c r="D248" s="3169"/>
      <c r="E248" s="3169"/>
      <c r="F248" s="3169"/>
      <c r="G248" s="3169"/>
      <c r="H248" s="3169"/>
      <c r="I248" s="3169"/>
      <c r="J248" s="3169"/>
      <c r="K248" s="3169"/>
      <c r="L248" s="3169"/>
      <c r="M248" s="3169"/>
      <c r="N248" s="3169"/>
      <c r="P248" s="1008" t="s">
        <v>1466</v>
      </c>
      <c r="R248" s="1008" t="s">
        <v>1685</v>
      </c>
      <c r="S248" s="1024">
        <v>0</v>
      </c>
    </row>
    <row r="249" spans="1:19" s="1008" customFormat="1" hidden="1">
      <c r="A249" s="1019"/>
      <c r="B249" s="3169"/>
      <c r="C249" s="3169"/>
      <c r="D249" s="3169"/>
      <c r="E249" s="3169"/>
      <c r="F249" s="3169"/>
      <c r="G249" s="3169"/>
      <c r="H249" s="3169"/>
      <c r="I249" s="3169"/>
      <c r="J249" s="3169"/>
      <c r="K249" s="3169"/>
      <c r="L249" s="3169"/>
      <c r="M249" s="3169"/>
      <c r="N249" s="3169"/>
      <c r="P249" s="1008" t="s">
        <v>1443</v>
      </c>
      <c r="R249" s="1008" t="s">
        <v>1686</v>
      </c>
      <c r="S249" s="1024">
        <v>118295</v>
      </c>
    </row>
    <row r="250" spans="1:19" s="1008" customFormat="1" hidden="1">
      <c r="A250" s="1019"/>
      <c r="B250" s="3113"/>
      <c r="C250" s="3113"/>
      <c r="D250" s="3113"/>
      <c r="E250" s="3113"/>
      <c r="F250" s="3113"/>
      <c r="G250" s="3113"/>
      <c r="H250" s="3113"/>
      <c r="I250" s="3113"/>
      <c r="J250" s="3113"/>
      <c r="K250" s="3113"/>
      <c r="L250" s="3113"/>
      <c r="M250" s="3113"/>
      <c r="N250" s="3113"/>
      <c r="P250" s="1008" t="s">
        <v>1443</v>
      </c>
      <c r="R250" s="1008" t="s">
        <v>1687</v>
      </c>
      <c r="S250" s="1024">
        <v>0</v>
      </c>
    </row>
    <row r="251" spans="1:19" s="1008" customFormat="1" hidden="1">
      <c r="A251" s="1019"/>
      <c r="B251" s="3165" t="s">
        <v>1012</v>
      </c>
      <c r="C251" s="3165"/>
      <c r="D251" s="3165"/>
      <c r="E251" s="1033"/>
      <c r="F251" s="1033"/>
      <c r="G251" s="1033"/>
      <c r="H251" s="1033"/>
      <c r="I251" s="1033"/>
      <c r="J251" s="1033"/>
      <c r="K251" s="1033"/>
      <c r="L251" s="1033"/>
      <c r="M251" s="1033"/>
      <c r="N251" s="1525"/>
      <c r="S251" s="1024"/>
    </row>
    <row r="252" spans="1:19" s="1008" customFormat="1" ht="8.25" hidden="1" customHeight="1">
      <c r="A252" s="1019"/>
      <c r="B252" s="1033"/>
      <c r="C252" s="1033"/>
      <c r="D252" s="1033"/>
      <c r="E252" s="1033"/>
      <c r="F252" s="1033"/>
      <c r="G252" s="1033"/>
      <c r="H252" s="1033"/>
      <c r="I252" s="1033"/>
      <c r="J252" s="1033"/>
      <c r="K252" s="1033"/>
      <c r="L252" s="1033"/>
      <c r="M252" s="1033"/>
      <c r="N252" s="1525"/>
      <c r="S252" s="1024">
        <f>SUM(S237:S250)</f>
        <v>675658</v>
      </c>
    </row>
    <row r="253" spans="1:19" s="1008" customFormat="1" hidden="1">
      <c r="A253" s="1019"/>
      <c r="B253" s="3169" t="s">
        <v>1016</v>
      </c>
      <c r="C253" s="3169"/>
      <c r="D253" s="3169"/>
      <c r="E253" s="3169"/>
      <c r="F253" s="3169"/>
      <c r="G253" s="3169"/>
      <c r="H253" s="3169"/>
      <c r="I253" s="3169"/>
      <c r="J253" s="3169"/>
      <c r="K253" s="3169"/>
      <c r="L253" s="3169"/>
      <c r="M253" s="3169"/>
      <c r="N253" s="3169"/>
    </row>
    <row r="254" spans="1:19" s="1008" customFormat="1" hidden="1">
      <c r="A254" s="1019"/>
      <c r="B254" s="3169"/>
      <c r="C254" s="3169"/>
      <c r="D254" s="3169"/>
      <c r="E254" s="3169"/>
      <c r="F254" s="3169"/>
      <c r="G254" s="3169"/>
      <c r="H254" s="3169"/>
      <c r="I254" s="3169"/>
      <c r="J254" s="3169"/>
      <c r="K254" s="3169"/>
      <c r="L254" s="3169"/>
      <c r="M254" s="3169"/>
      <c r="N254" s="3169"/>
    </row>
    <row r="255" spans="1:19" s="1008" customFormat="1" hidden="1">
      <c r="A255" s="1019"/>
      <c r="B255" s="3169"/>
      <c r="C255" s="3169"/>
      <c r="D255" s="3169"/>
      <c r="E255" s="3169"/>
      <c r="F255" s="3169"/>
      <c r="G255" s="3169"/>
      <c r="H255" s="3169"/>
      <c r="I255" s="3169"/>
      <c r="J255" s="3169"/>
      <c r="K255" s="3169"/>
      <c r="L255" s="3169"/>
      <c r="M255" s="3169"/>
      <c r="N255" s="3169"/>
    </row>
    <row r="256" spans="1:19" s="1008" customFormat="1" hidden="1">
      <c r="A256" s="1019"/>
      <c r="B256" s="3169"/>
      <c r="C256" s="3169"/>
      <c r="D256" s="3169"/>
      <c r="E256" s="3169"/>
      <c r="F256" s="3169"/>
      <c r="G256" s="3169"/>
      <c r="H256" s="3169"/>
      <c r="I256" s="3169"/>
      <c r="J256" s="3169"/>
      <c r="K256" s="3169"/>
      <c r="L256" s="3169"/>
      <c r="M256" s="3169"/>
      <c r="N256" s="3169"/>
    </row>
    <row r="257" spans="1:15" s="1008" customFormat="1" hidden="1">
      <c r="A257" s="1019"/>
      <c r="B257" s="1524"/>
      <c r="C257" s="1524"/>
      <c r="D257" s="1524"/>
      <c r="E257" s="1524"/>
      <c r="F257" s="1524"/>
      <c r="G257" s="1524"/>
      <c r="H257" s="1524"/>
      <c r="I257" s="1524"/>
      <c r="J257" s="1524"/>
      <c r="K257" s="1524"/>
      <c r="L257" s="1524"/>
      <c r="M257" s="1524"/>
      <c r="N257" s="1524"/>
    </row>
    <row r="258" spans="1:15" s="1008" customFormat="1" hidden="1">
      <c r="A258" s="1019"/>
      <c r="B258" s="3166" t="s">
        <v>1019</v>
      </c>
      <c r="C258" s="3166"/>
      <c r="D258" s="3166"/>
      <c r="E258" s="3166"/>
      <c r="F258" s="1509"/>
      <c r="G258" s="1509"/>
      <c r="H258" s="861"/>
      <c r="I258" s="861"/>
      <c r="J258" s="861"/>
      <c r="K258" s="988"/>
      <c r="L258" s="988"/>
      <c r="M258" s="988"/>
      <c r="N258" s="988"/>
    </row>
    <row r="259" spans="1:15" s="1008" customFormat="1" hidden="1">
      <c r="A259" s="1019"/>
      <c r="B259" s="1523"/>
      <c r="C259" s="1523"/>
      <c r="D259" s="1523"/>
      <c r="E259" s="1523"/>
      <c r="F259" s="1509"/>
      <c r="G259" s="1509"/>
      <c r="H259" s="861"/>
      <c r="I259" s="861"/>
      <c r="J259" s="861"/>
      <c r="K259" s="1525"/>
      <c r="L259" s="1525"/>
      <c r="M259" s="1525"/>
      <c r="N259" s="1525"/>
    </row>
    <row r="260" spans="1:15" s="1008" customFormat="1" ht="14.25" hidden="1" customHeight="1">
      <c r="A260" s="880"/>
      <c r="B260" s="3107" t="s">
        <v>1020</v>
      </c>
      <c r="C260" s="3107"/>
      <c r="D260" s="3107"/>
      <c r="E260" s="3107"/>
      <c r="F260" s="3107"/>
      <c r="G260" s="3107"/>
      <c r="H260" s="3107"/>
      <c r="I260" s="3107"/>
      <c r="J260" s="3107"/>
      <c r="K260" s="3107"/>
      <c r="L260" s="3107"/>
      <c r="M260" s="3107"/>
      <c r="N260" s="3107"/>
    </row>
    <row r="261" spans="1:15" s="1008" customFormat="1" hidden="1">
      <c r="A261" s="880"/>
      <c r="B261" s="3107"/>
      <c r="C261" s="3107"/>
      <c r="D261" s="3107"/>
      <c r="E261" s="3107"/>
      <c r="F261" s="3107"/>
      <c r="G261" s="3107"/>
      <c r="H261" s="3107"/>
      <c r="I261" s="3107"/>
      <c r="J261" s="3107"/>
      <c r="K261" s="3107"/>
      <c r="L261" s="3107"/>
      <c r="M261" s="3107"/>
      <c r="N261" s="3107"/>
    </row>
    <row r="262" spans="1:15" ht="24" hidden="1" customHeight="1">
      <c r="A262" s="880"/>
      <c r="B262" s="3107"/>
      <c r="C262" s="3107"/>
      <c r="D262" s="3107"/>
      <c r="E262" s="3107"/>
      <c r="F262" s="3107"/>
      <c r="G262" s="3107"/>
      <c r="H262" s="3107"/>
      <c r="I262" s="3107"/>
      <c r="J262" s="3107"/>
      <c r="K262" s="3107"/>
      <c r="L262" s="3107"/>
      <c r="M262" s="3107"/>
      <c r="N262" s="3107"/>
      <c r="O262" s="861"/>
    </row>
    <row r="263" spans="1:15" hidden="1">
      <c r="A263" s="880"/>
      <c r="B263" s="1512"/>
      <c r="C263" s="1512"/>
      <c r="D263" s="1512"/>
      <c r="E263" s="1512"/>
      <c r="F263" s="1512"/>
      <c r="G263" s="1512"/>
      <c r="H263" s="1512"/>
      <c r="I263" s="1512"/>
      <c r="J263" s="1512"/>
      <c r="K263" s="1512"/>
      <c r="L263" s="1512"/>
      <c r="M263" s="1512"/>
      <c r="N263" s="1512"/>
      <c r="O263" s="861"/>
    </row>
    <row r="264" spans="1:15" hidden="1">
      <c r="A264" s="880"/>
      <c r="B264" s="1034" t="s">
        <v>1021</v>
      </c>
      <c r="C264" s="1033"/>
      <c r="D264" s="1033"/>
      <c r="E264" s="1033"/>
      <c r="F264" s="1033"/>
      <c r="G264" s="1033"/>
      <c r="H264" s="1033"/>
      <c r="I264" s="1033"/>
      <c r="J264" s="1033"/>
      <c r="K264" s="1033"/>
      <c r="L264" s="1033"/>
      <c r="M264" s="1033"/>
      <c r="N264" s="1512"/>
      <c r="O264" s="861"/>
    </row>
    <row r="265" spans="1:15" hidden="1">
      <c r="A265" s="880"/>
      <c r="B265" s="1034"/>
      <c r="C265" s="1033"/>
      <c r="D265" s="1033"/>
      <c r="E265" s="1033"/>
      <c r="F265" s="1033"/>
      <c r="G265" s="1033"/>
      <c r="H265" s="1033"/>
      <c r="I265" s="1033"/>
      <c r="J265" s="1033"/>
      <c r="K265" s="1033"/>
      <c r="L265" s="1033"/>
      <c r="M265" s="1033"/>
      <c r="N265" s="1512"/>
      <c r="O265" s="861"/>
    </row>
    <row r="266" spans="1:15" hidden="1">
      <c r="A266" s="880"/>
      <c r="B266" s="3169" t="s">
        <v>1022</v>
      </c>
      <c r="C266" s="3169"/>
      <c r="D266" s="3169"/>
      <c r="E266" s="3169"/>
      <c r="F266" s="3169"/>
      <c r="G266" s="3169"/>
      <c r="H266" s="3169"/>
      <c r="I266" s="3169"/>
      <c r="J266" s="3169"/>
      <c r="K266" s="3169"/>
      <c r="L266" s="3169"/>
      <c r="M266" s="3169"/>
      <c r="N266" s="3169"/>
      <c r="O266" s="861"/>
    </row>
    <row r="267" spans="1:15" hidden="1">
      <c r="A267" s="880"/>
      <c r="B267" s="3169"/>
      <c r="C267" s="3169"/>
      <c r="D267" s="3169"/>
      <c r="E267" s="3169"/>
      <c r="F267" s="3169"/>
      <c r="G267" s="3169"/>
      <c r="H267" s="3169"/>
      <c r="I267" s="3169"/>
      <c r="J267" s="3169"/>
      <c r="K267" s="3169"/>
      <c r="L267" s="3169"/>
      <c r="M267" s="3169"/>
      <c r="N267" s="3169"/>
      <c r="O267" s="861"/>
    </row>
    <row r="268" spans="1:15" hidden="1">
      <c r="A268" s="880"/>
      <c r="B268" s="3169"/>
      <c r="C268" s="3169"/>
      <c r="D268" s="3169"/>
      <c r="E268" s="3169"/>
      <c r="F268" s="3169"/>
      <c r="G268" s="3169"/>
      <c r="H268" s="3169"/>
      <c r="I268" s="3169"/>
      <c r="J268" s="3169"/>
      <c r="K268" s="3169"/>
      <c r="L268" s="3169"/>
      <c r="M268" s="3169"/>
      <c r="N268" s="3169"/>
      <c r="O268" s="861"/>
    </row>
    <row r="269" spans="1:15" hidden="1">
      <c r="A269" s="880"/>
      <c r="B269" s="3169"/>
      <c r="C269" s="3169"/>
      <c r="D269" s="3169"/>
      <c r="E269" s="3169"/>
      <c r="F269" s="3169"/>
      <c r="G269" s="3169"/>
      <c r="H269" s="3169"/>
      <c r="I269" s="3169"/>
      <c r="J269" s="3169"/>
      <c r="K269" s="3169"/>
      <c r="L269" s="3169"/>
      <c r="M269" s="3169"/>
      <c r="N269" s="3169"/>
      <c r="O269" s="861"/>
    </row>
    <row r="270" spans="1:15" hidden="1">
      <c r="A270" s="880"/>
      <c r="B270" s="3169"/>
      <c r="C270" s="3169"/>
      <c r="D270" s="3169"/>
      <c r="E270" s="3169"/>
      <c r="F270" s="3169"/>
      <c r="G270" s="3169"/>
      <c r="H270" s="3169"/>
      <c r="I270" s="3169"/>
      <c r="J270" s="3169"/>
      <c r="K270" s="3169"/>
      <c r="L270" s="3169"/>
      <c r="M270" s="3169"/>
      <c r="N270" s="3169"/>
      <c r="O270" s="861"/>
    </row>
    <row r="271" spans="1:15" hidden="1">
      <c r="A271" s="880"/>
      <c r="B271" s="1524"/>
      <c r="C271" s="1524"/>
      <c r="D271" s="1524"/>
      <c r="E271" s="1524"/>
      <c r="F271" s="1524"/>
      <c r="G271" s="1524"/>
      <c r="H271" s="1524"/>
      <c r="I271" s="1524"/>
      <c r="J271" s="1524"/>
      <c r="K271" s="1524"/>
      <c r="L271" s="1524"/>
      <c r="M271" s="1524"/>
      <c r="N271" s="1524"/>
      <c r="O271" s="861"/>
    </row>
    <row r="272" spans="1:15" hidden="1">
      <c r="A272" s="1035">
        <f>A181+0.1</f>
        <v>25.300000000000004</v>
      </c>
      <c r="B272" s="987" t="s">
        <v>1023</v>
      </c>
      <c r="C272" s="988"/>
      <c r="D272" s="988"/>
      <c r="E272" s="988"/>
      <c r="F272" s="988"/>
      <c r="G272" s="988"/>
      <c r="H272" s="988"/>
      <c r="I272" s="988"/>
      <c r="J272" s="988"/>
      <c r="K272" s="988"/>
      <c r="L272" s="988"/>
      <c r="M272" s="988"/>
      <c r="N272" s="988"/>
      <c r="O272" s="861"/>
    </row>
    <row r="273" spans="1:14" s="1008" customFormat="1" hidden="1">
      <c r="A273" s="880"/>
      <c r="B273" s="993"/>
      <c r="C273" s="988"/>
      <c r="D273" s="988"/>
      <c r="E273" s="988"/>
      <c r="F273" s="988"/>
      <c r="G273" s="988"/>
      <c r="H273" s="988"/>
      <c r="I273" s="988"/>
      <c r="J273" s="988"/>
      <c r="K273" s="988"/>
      <c r="L273" s="988"/>
      <c r="M273" s="988"/>
      <c r="N273" s="988"/>
    </row>
    <row r="274" spans="1:14" s="1008" customFormat="1" hidden="1">
      <c r="A274" s="880"/>
      <c r="B274" s="3107" t="s">
        <v>1024</v>
      </c>
      <c r="C274" s="3107"/>
      <c r="D274" s="3107"/>
      <c r="E274" s="3107"/>
      <c r="F274" s="3107"/>
      <c r="G274" s="3107"/>
      <c r="H274" s="3107"/>
      <c r="I274" s="3107"/>
      <c r="J274" s="3107"/>
      <c r="K274" s="3107"/>
      <c r="L274" s="3107"/>
      <c r="M274" s="3107"/>
      <c r="N274" s="3107"/>
    </row>
    <row r="275" spans="1:14" s="1008" customFormat="1" hidden="1">
      <c r="A275" s="880"/>
      <c r="B275" s="3107"/>
      <c r="C275" s="3107"/>
      <c r="D275" s="3107"/>
      <c r="E275" s="3107"/>
      <c r="F275" s="3107"/>
      <c r="G275" s="3107"/>
      <c r="H275" s="3107"/>
      <c r="I275" s="3107"/>
      <c r="J275" s="3107"/>
      <c r="K275" s="3107"/>
      <c r="L275" s="3107"/>
      <c r="M275" s="3107"/>
      <c r="N275" s="3107"/>
    </row>
    <row r="276" spans="1:14" s="1008" customFormat="1" hidden="1">
      <c r="A276" s="880"/>
      <c r="B276" s="1523"/>
      <c r="C276" s="1523"/>
      <c r="D276" s="1523"/>
      <c r="E276" s="1523"/>
      <c r="F276" s="1509"/>
      <c r="G276" s="1509"/>
      <c r="H276" s="861"/>
      <c r="I276" s="861"/>
      <c r="J276" s="861"/>
      <c r="K276" s="1525"/>
      <c r="L276" s="1525"/>
      <c r="M276" s="1525"/>
      <c r="N276" s="1525"/>
    </row>
    <row r="277" spans="1:14" s="1008" customFormat="1" hidden="1">
      <c r="A277" s="880"/>
      <c r="B277" s="3107" t="s">
        <v>1025</v>
      </c>
      <c r="C277" s="3107"/>
      <c r="D277" s="3107"/>
      <c r="E277" s="3107"/>
      <c r="F277" s="3107"/>
      <c r="G277" s="3107"/>
      <c r="H277" s="3107"/>
      <c r="I277" s="3107"/>
      <c r="J277" s="3107"/>
      <c r="K277" s="3107"/>
      <c r="L277" s="3107"/>
      <c r="M277" s="3107"/>
      <c r="N277" s="3107"/>
    </row>
    <row r="278" spans="1:14" s="1008" customFormat="1" hidden="1">
      <c r="A278" s="880"/>
      <c r="B278" s="3107"/>
      <c r="C278" s="3107"/>
      <c r="D278" s="3107"/>
      <c r="E278" s="3107"/>
      <c r="F278" s="3107"/>
      <c r="G278" s="3107"/>
      <c r="H278" s="3107"/>
      <c r="I278" s="3107"/>
      <c r="J278" s="3107"/>
      <c r="K278" s="3107"/>
      <c r="L278" s="3107"/>
      <c r="M278" s="3107"/>
      <c r="N278" s="3107"/>
    </row>
    <row r="279" spans="1:14" s="1008" customFormat="1" hidden="1">
      <c r="A279" s="880"/>
      <c r="B279" s="3107"/>
      <c r="C279" s="3107"/>
      <c r="D279" s="3107"/>
      <c r="E279" s="3107"/>
      <c r="F279" s="3107"/>
      <c r="G279" s="3107"/>
      <c r="H279" s="3107"/>
      <c r="I279" s="3107"/>
      <c r="J279" s="3107"/>
      <c r="K279" s="3107"/>
      <c r="L279" s="3107"/>
      <c r="M279" s="3107"/>
      <c r="N279" s="3107"/>
    </row>
    <row r="280" spans="1:14" s="1008" customFormat="1" hidden="1">
      <c r="A280" s="880"/>
      <c r="B280" s="3107"/>
      <c r="C280" s="3107"/>
      <c r="D280" s="3107"/>
      <c r="E280" s="3107"/>
      <c r="F280" s="3107"/>
      <c r="G280" s="3107"/>
      <c r="H280" s="3107"/>
      <c r="I280" s="3107"/>
      <c r="J280" s="3107"/>
      <c r="K280" s="3107"/>
      <c r="L280" s="3107"/>
      <c r="M280" s="3107"/>
      <c r="N280" s="3107"/>
    </row>
    <row r="281" spans="1:14" s="1008" customFormat="1" ht="14.25" hidden="1" customHeight="1">
      <c r="A281" s="880"/>
      <c r="B281" s="3107"/>
      <c r="C281" s="3107"/>
      <c r="D281" s="3107"/>
      <c r="E281" s="3107"/>
      <c r="F281" s="3107"/>
      <c r="G281" s="3107"/>
      <c r="H281" s="3107"/>
      <c r="I281" s="3107"/>
      <c r="J281" s="3107"/>
      <c r="K281" s="3107"/>
      <c r="L281" s="3107"/>
      <c r="M281" s="3107"/>
      <c r="N281" s="3107"/>
    </row>
    <row r="282" spans="1:14" s="1008" customFormat="1" ht="15" hidden="1" customHeight="1">
      <c r="A282" s="880"/>
      <c r="B282" s="993"/>
      <c r="C282" s="988"/>
      <c r="D282" s="988"/>
      <c r="E282" s="988"/>
      <c r="F282" s="988"/>
      <c r="G282" s="988"/>
      <c r="H282" s="988"/>
      <c r="I282" s="988"/>
      <c r="J282" s="988"/>
      <c r="K282" s="988"/>
      <c r="L282" s="988"/>
      <c r="M282" s="988"/>
      <c r="N282" s="988"/>
    </row>
    <row r="283" spans="1:14" s="1008" customFormat="1" ht="0.75" hidden="1" customHeight="1">
      <c r="A283" s="880"/>
      <c r="B283" s="3155" t="s">
        <v>1026</v>
      </c>
      <c r="C283" s="3155"/>
      <c r="D283" s="3155"/>
      <c r="E283" s="3155"/>
      <c r="F283" s="3155"/>
      <c r="G283" s="3155"/>
      <c r="H283" s="3155"/>
      <c r="I283" s="3155"/>
      <c r="J283" s="3155"/>
      <c r="K283" s="3155"/>
      <c r="L283" s="3155"/>
      <c r="M283" s="3155"/>
      <c r="N283" s="3155"/>
    </row>
    <row r="284" spans="1:14" s="1008" customFormat="1" hidden="1">
      <c r="A284" s="880"/>
      <c r="B284" s="3155"/>
      <c r="C284" s="3155"/>
      <c r="D284" s="3155"/>
      <c r="E284" s="3155"/>
      <c r="F284" s="3155"/>
      <c r="G284" s="3155"/>
      <c r="H284" s="3155"/>
      <c r="I284" s="3155"/>
      <c r="J284" s="3155"/>
      <c r="K284" s="3155"/>
      <c r="L284" s="3155"/>
      <c r="M284" s="3155"/>
      <c r="N284" s="3155"/>
    </row>
    <row r="285" spans="1:14" s="1008" customFormat="1" hidden="1">
      <c r="A285" s="880"/>
      <c r="B285" s="3155"/>
      <c r="C285" s="3155"/>
      <c r="D285" s="3155"/>
      <c r="E285" s="3155"/>
      <c r="F285" s="3155"/>
      <c r="G285" s="3155"/>
      <c r="H285" s="3155"/>
      <c r="I285" s="3155"/>
      <c r="J285" s="3155"/>
      <c r="K285" s="3155"/>
      <c r="L285" s="3155"/>
      <c r="M285" s="3155"/>
      <c r="N285" s="3155"/>
    </row>
    <row r="286" spans="1:14" s="1008" customFormat="1" hidden="1">
      <c r="A286" s="880"/>
      <c r="B286" s="3155"/>
      <c r="C286" s="3155"/>
      <c r="D286" s="3155"/>
      <c r="E286" s="3155"/>
      <c r="F286" s="3155"/>
      <c r="G286" s="3155"/>
      <c r="H286" s="3155"/>
      <c r="I286" s="3155"/>
      <c r="J286" s="3155"/>
      <c r="K286" s="3155"/>
      <c r="L286" s="3155"/>
      <c r="M286" s="3155"/>
      <c r="N286" s="3155"/>
    </row>
    <row r="287" spans="1:14" s="1008" customFormat="1" hidden="1">
      <c r="A287" s="880"/>
      <c r="B287" s="3155"/>
      <c r="C287" s="3155"/>
      <c r="D287" s="3155"/>
      <c r="E287" s="3155"/>
      <c r="F287" s="3155"/>
      <c r="G287" s="3155"/>
      <c r="H287" s="3155"/>
      <c r="I287" s="3155"/>
      <c r="J287" s="3155"/>
      <c r="K287" s="3155"/>
      <c r="L287" s="3155"/>
      <c r="M287" s="3155"/>
      <c r="N287" s="3155"/>
    </row>
    <row r="288" spans="1:14" s="1008" customFormat="1" ht="15" hidden="1" customHeight="1">
      <c r="A288" s="880"/>
      <c r="B288" s="1523"/>
      <c r="C288" s="1523"/>
      <c r="D288" s="1523"/>
      <c r="E288" s="1523"/>
      <c r="F288" s="1509"/>
      <c r="G288" s="1509"/>
      <c r="H288" s="1525"/>
      <c r="I288" s="1525"/>
      <c r="J288" s="1525"/>
      <c r="K288" s="1525"/>
      <c r="L288" s="1525"/>
      <c r="M288" s="1525"/>
      <c r="N288" s="1525"/>
    </row>
    <row r="289" spans="1:14" s="1008" customFormat="1" ht="9.75" hidden="1" customHeight="1">
      <c r="A289" s="880"/>
      <c r="B289" s="3155" t="s">
        <v>1027</v>
      </c>
      <c r="C289" s="3155"/>
      <c r="D289" s="3155"/>
      <c r="E289" s="3155"/>
      <c r="F289" s="3155"/>
      <c r="G289" s="3155"/>
      <c r="H289" s="3155"/>
      <c r="I289" s="3155"/>
      <c r="J289" s="3155"/>
      <c r="K289" s="3155"/>
      <c r="L289" s="3155"/>
      <c r="M289" s="3155"/>
      <c r="N289" s="3155"/>
    </row>
    <row r="290" spans="1:14" s="1008" customFormat="1" hidden="1">
      <c r="A290" s="880"/>
      <c r="B290" s="3155"/>
      <c r="C290" s="3155"/>
      <c r="D290" s="3155"/>
      <c r="E290" s="3155"/>
      <c r="F290" s="3155"/>
      <c r="G290" s="3155"/>
      <c r="H290" s="3155"/>
      <c r="I290" s="3155"/>
      <c r="J290" s="3155"/>
      <c r="K290" s="3155"/>
      <c r="L290" s="3155"/>
      <c r="M290" s="3155"/>
      <c r="N290" s="3155"/>
    </row>
    <row r="291" spans="1:14" s="1008" customFormat="1" hidden="1">
      <c r="A291" s="880"/>
      <c r="B291" s="3155"/>
      <c r="C291" s="3155"/>
      <c r="D291" s="3155"/>
      <c r="E291" s="3155"/>
      <c r="F291" s="3155"/>
      <c r="G291" s="3155"/>
      <c r="H291" s="3155"/>
      <c r="I291" s="3155"/>
      <c r="J291" s="3155"/>
      <c r="K291" s="3155"/>
      <c r="L291" s="3155"/>
      <c r="M291" s="3155"/>
      <c r="N291" s="3155"/>
    </row>
    <row r="292" spans="1:14" s="1008" customFormat="1" hidden="1">
      <c r="A292" s="880"/>
      <c r="B292" s="3155"/>
      <c r="C292" s="3155"/>
      <c r="D292" s="3155"/>
      <c r="E292" s="3155"/>
      <c r="F292" s="3155"/>
      <c r="G292" s="3155"/>
      <c r="H292" s="3155"/>
      <c r="I292" s="3155"/>
      <c r="J292" s="3155"/>
      <c r="K292" s="3155"/>
      <c r="L292" s="3155"/>
      <c r="M292" s="3155"/>
      <c r="N292" s="3155"/>
    </row>
    <row r="293" spans="1:14" s="1008" customFormat="1" ht="14.25" hidden="1" customHeight="1">
      <c r="A293" s="880"/>
      <c r="B293" s="3155"/>
      <c r="C293" s="3155"/>
      <c r="D293" s="3155"/>
      <c r="E293" s="3155"/>
      <c r="F293" s="3155"/>
      <c r="G293" s="3155"/>
      <c r="H293" s="3155"/>
      <c r="I293" s="3155"/>
      <c r="J293" s="3155"/>
      <c r="K293" s="3155"/>
      <c r="L293" s="3155"/>
      <c r="M293" s="3155"/>
      <c r="N293" s="3155"/>
    </row>
    <row r="294" spans="1:14" s="1008" customFormat="1" ht="14.25" hidden="1" customHeight="1">
      <c r="A294" s="880"/>
      <c r="B294" s="1515"/>
      <c r="C294" s="1515"/>
      <c r="D294" s="1515"/>
      <c r="E294" s="1515"/>
      <c r="F294" s="1515"/>
      <c r="G294" s="1515"/>
      <c r="H294" s="1515"/>
      <c r="I294" s="1515"/>
      <c r="J294" s="1515"/>
      <c r="K294" s="1515"/>
      <c r="L294" s="1515"/>
      <c r="M294" s="1515"/>
      <c r="N294" s="1515"/>
    </row>
    <row r="295" spans="1:14" s="1008" customFormat="1" ht="12.75" hidden="1" customHeight="1">
      <c r="A295" s="880"/>
      <c r="B295" s="3155" t="s">
        <v>1028</v>
      </c>
      <c r="C295" s="3155"/>
      <c r="D295" s="3155"/>
      <c r="E295" s="3155"/>
      <c r="F295" s="3155"/>
      <c r="G295" s="3155"/>
      <c r="H295" s="3155"/>
      <c r="I295" s="3155"/>
      <c r="J295" s="3155"/>
      <c r="K295" s="3155"/>
      <c r="L295" s="3155"/>
      <c r="M295" s="3155"/>
      <c r="N295" s="3155"/>
    </row>
    <row r="296" spans="1:14" s="1008" customFormat="1" ht="12.75" hidden="1" customHeight="1">
      <c r="A296" s="880"/>
      <c r="B296" s="3155"/>
      <c r="C296" s="3155"/>
      <c r="D296" s="3155"/>
      <c r="E296" s="3155"/>
      <c r="F296" s="3155"/>
      <c r="G296" s="3155"/>
      <c r="H296" s="3155"/>
      <c r="I296" s="3155"/>
      <c r="J296" s="3155"/>
      <c r="K296" s="3155"/>
      <c r="L296" s="3155"/>
      <c r="M296" s="3155"/>
      <c r="N296" s="3155"/>
    </row>
    <row r="297" spans="1:14" s="1008" customFormat="1" ht="12.75" hidden="1" customHeight="1">
      <c r="A297" s="880"/>
      <c r="B297" s="3155"/>
      <c r="C297" s="3155"/>
      <c r="D297" s="3155"/>
      <c r="E297" s="3155"/>
      <c r="F297" s="3155"/>
      <c r="G297" s="3155"/>
      <c r="H297" s="3155"/>
      <c r="I297" s="3155"/>
      <c r="J297" s="3155"/>
      <c r="K297" s="3155"/>
      <c r="L297" s="3155"/>
      <c r="M297" s="3155"/>
      <c r="N297" s="3155"/>
    </row>
    <row r="298" spans="1:14" s="1008" customFormat="1" ht="12.75" hidden="1" customHeight="1">
      <c r="A298" s="880"/>
      <c r="B298" s="1515"/>
      <c r="C298" s="1515"/>
      <c r="D298" s="1515"/>
      <c r="E298" s="1515"/>
      <c r="F298" s="1515"/>
      <c r="G298" s="1515"/>
      <c r="H298" s="1515"/>
      <c r="I298" s="1515"/>
      <c r="J298" s="1515"/>
      <c r="K298" s="1515"/>
      <c r="L298" s="1515"/>
      <c r="M298" s="1515"/>
      <c r="N298" s="1515"/>
    </row>
    <row r="299" spans="1:14" s="1039" customFormat="1" ht="11.25" hidden="1">
      <c r="A299" s="1036"/>
      <c r="B299" s="1037"/>
      <c r="C299" s="1038"/>
      <c r="D299" s="1038"/>
      <c r="E299" s="1038"/>
      <c r="F299" s="1038"/>
      <c r="G299" s="1038"/>
      <c r="H299" s="3174" t="s">
        <v>1535</v>
      </c>
      <c r="I299" s="3174"/>
      <c r="J299" s="3174"/>
      <c r="K299" s="3174"/>
      <c r="L299" s="3174"/>
      <c r="M299" s="3174"/>
      <c r="N299" s="3174"/>
    </row>
    <row r="300" spans="1:14" s="1039" customFormat="1" ht="11.25" hidden="1">
      <c r="A300" s="1036"/>
      <c r="B300" s="1037"/>
      <c r="C300" s="1038"/>
      <c r="D300" s="1038"/>
      <c r="E300" s="1038"/>
      <c r="F300" s="1038"/>
      <c r="G300" s="1038"/>
      <c r="H300" s="3171" t="s">
        <v>943</v>
      </c>
      <c r="I300" s="1526"/>
      <c r="J300" s="3171" t="s">
        <v>944</v>
      </c>
      <c r="K300" s="1526"/>
      <c r="L300" s="3171" t="s">
        <v>945</v>
      </c>
      <c r="M300" s="1526"/>
      <c r="N300" s="3171" t="s">
        <v>681</v>
      </c>
    </row>
    <row r="301" spans="1:14" s="1039" customFormat="1" ht="30.75" hidden="1" customHeight="1">
      <c r="A301" s="1036"/>
      <c r="B301" s="1037"/>
      <c r="C301" s="1038"/>
      <c r="D301" s="1038"/>
      <c r="E301" s="1038"/>
      <c r="F301" s="1038"/>
      <c r="G301" s="1038"/>
      <c r="H301" s="3172"/>
      <c r="I301" s="1526"/>
      <c r="J301" s="3172"/>
      <c r="K301" s="1526"/>
      <c r="L301" s="3172"/>
      <c r="M301" s="1526"/>
      <c r="N301" s="3172"/>
    </row>
    <row r="302" spans="1:14" s="1039" customFormat="1" ht="15.75" hidden="1" customHeight="1">
      <c r="A302" s="1036"/>
      <c r="B302" s="1037"/>
      <c r="C302" s="1038"/>
      <c r="D302" s="1038"/>
      <c r="E302" s="1038"/>
      <c r="F302" s="1038"/>
      <c r="G302" s="1038"/>
      <c r="H302" s="3172"/>
      <c r="I302" s="1040"/>
      <c r="J302" s="3172"/>
      <c r="K302" s="1526"/>
      <c r="L302" s="3172"/>
      <c r="M302" s="1040"/>
      <c r="N302" s="3172"/>
    </row>
    <row r="303" spans="1:14" s="1039" customFormat="1" ht="11.25" hidden="1">
      <c r="A303" s="1036"/>
      <c r="B303" s="1037"/>
      <c r="C303" s="1038"/>
      <c r="D303" s="1038"/>
      <c r="E303" s="1038"/>
      <c r="F303" s="1038"/>
      <c r="G303" s="1038"/>
      <c r="H303" s="3173" t="s">
        <v>1030</v>
      </c>
      <c r="I303" s="3173"/>
      <c r="J303" s="3173"/>
      <c r="K303" s="3173"/>
      <c r="L303" s="3173"/>
      <c r="M303" s="3173"/>
      <c r="N303" s="3173"/>
    </row>
    <row r="304" spans="1:14" s="1039" customFormat="1" ht="9.75" hidden="1" customHeight="1">
      <c r="A304" s="1036"/>
      <c r="B304" s="1037"/>
      <c r="C304" s="1038"/>
      <c r="D304" s="1038"/>
      <c r="E304" s="1038"/>
      <c r="F304" s="1038"/>
      <c r="G304" s="1038"/>
      <c r="H304" s="1038"/>
      <c r="I304" s="1038"/>
      <c r="J304" s="1038"/>
      <c r="K304" s="1038"/>
      <c r="L304" s="1038"/>
      <c r="M304" s="1038"/>
      <c r="N304" s="1038"/>
    </row>
    <row r="305" spans="1:14" s="1039" customFormat="1" ht="11.25" hidden="1">
      <c r="A305" s="1036"/>
      <c r="B305" s="1037" t="s">
        <v>1045</v>
      </c>
      <c r="C305" s="1038"/>
      <c r="D305" s="1038"/>
      <c r="E305" s="1038"/>
      <c r="F305" s="1038"/>
      <c r="G305" s="1038"/>
      <c r="H305" s="1041">
        <f>L355</f>
        <v>1337</v>
      </c>
      <c r="I305" s="1041"/>
      <c r="J305" s="1041">
        <v>0</v>
      </c>
      <c r="K305" s="1041"/>
      <c r="L305" s="1041">
        <v>0</v>
      </c>
      <c r="M305" s="1041"/>
      <c r="N305" s="1041">
        <f>SUM(H305:L305)</f>
        <v>1337</v>
      </c>
    </row>
    <row r="306" spans="1:14" s="1039" customFormat="1" ht="11.25" hidden="1">
      <c r="A306" s="1036"/>
      <c r="B306" s="1037" t="s">
        <v>1527</v>
      </c>
      <c r="C306" s="1038"/>
      <c r="D306" s="1038"/>
      <c r="E306" s="1038"/>
      <c r="F306" s="1038"/>
      <c r="G306" s="1038"/>
    </row>
    <row r="307" spans="1:14" s="1039" customFormat="1" ht="11.25" hidden="1">
      <c r="A307" s="1036"/>
      <c r="B307" s="1037" t="s">
        <v>1031</v>
      </c>
      <c r="C307" s="1038"/>
      <c r="D307" s="1038"/>
      <c r="E307" s="1038"/>
      <c r="F307" s="1038"/>
      <c r="G307" s="1038"/>
      <c r="H307" s="1041">
        <f>L356</f>
        <v>63</v>
      </c>
      <c r="I307" s="1041"/>
      <c r="J307" s="1041">
        <v>0</v>
      </c>
      <c r="K307" s="1041"/>
      <c r="L307" s="1041">
        <v>0</v>
      </c>
      <c r="M307" s="1041"/>
      <c r="N307" s="1041">
        <f>SUM(H307:L307)</f>
        <v>63</v>
      </c>
    </row>
    <row r="308" spans="1:14" s="1039" customFormat="1" ht="11.25" hidden="1">
      <c r="A308" s="1036"/>
      <c r="B308" s="1037" t="s">
        <v>973</v>
      </c>
      <c r="C308" s="1038"/>
      <c r="D308" s="1038"/>
      <c r="E308" s="1038"/>
      <c r="F308" s="1038"/>
      <c r="G308" s="1038"/>
      <c r="H308" s="1041">
        <f>L357</f>
        <v>2079</v>
      </c>
      <c r="I308" s="1041"/>
      <c r="J308" s="1041">
        <v>0</v>
      </c>
      <c r="K308" s="1041"/>
      <c r="L308" s="1041">
        <v>0</v>
      </c>
      <c r="M308" s="1041"/>
      <c r="N308" s="1041">
        <f>SUM(H308:L308)</f>
        <v>2079</v>
      </c>
    </row>
    <row r="309" spans="1:14" s="1039" customFormat="1" ht="11.25" hidden="1">
      <c r="A309" s="1036"/>
      <c r="B309" s="1037" t="s">
        <v>692</v>
      </c>
      <c r="C309" s="1038"/>
      <c r="D309" s="1038"/>
      <c r="E309" s="1038"/>
      <c r="F309" s="1038"/>
      <c r="G309" s="1038"/>
      <c r="H309" s="1041">
        <f>L109</f>
        <v>704</v>
      </c>
      <c r="I309" s="1041"/>
      <c r="J309" s="1041">
        <v>0</v>
      </c>
      <c r="K309" s="1041"/>
      <c r="L309" s="1041">
        <v>0</v>
      </c>
      <c r="M309" s="1041"/>
      <c r="N309" s="1041">
        <f>SUM(H309:L309)</f>
        <v>704</v>
      </c>
    </row>
    <row r="310" spans="1:14" s="1039" customFormat="1" ht="4.5" hidden="1" customHeight="1">
      <c r="A310" s="1036"/>
      <c r="B310" s="1037"/>
      <c r="C310" s="1038"/>
      <c r="D310" s="1038"/>
      <c r="E310" s="1038"/>
      <c r="F310" s="1038"/>
      <c r="G310" s="1038"/>
      <c r="H310" s="1041"/>
      <c r="I310" s="1041"/>
      <c r="J310" s="1041"/>
      <c r="K310" s="1041"/>
      <c r="L310" s="1041"/>
      <c r="M310" s="1041"/>
      <c r="N310" s="1041"/>
    </row>
    <row r="311" spans="1:14" s="1039" customFormat="1" ht="21" hidden="1" customHeight="1" thickBot="1">
      <c r="A311" s="1036"/>
      <c r="B311" s="1037"/>
      <c r="C311" s="1038"/>
      <c r="D311" s="1038"/>
      <c r="E311" s="1038"/>
      <c r="F311" s="1038"/>
      <c r="G311" s="1038"/>
      <c r="H311" s="1042">
        <f>SUM(H305:H309)</f>
        <v>4183</v>
      </c>
      <c r="I311" s="1043"/>
      <c r="J311" s="1042">
        <f>SUM(J305:J309)</f>
        <v>0</v>
      </c>
      <c r="K311" s="1043"/>
      <c r="L311" s="1042">
        <f>SUM(L305:L309)</f>
        <v>0</v>
      </c>
      <c r="M311" s="1043"/>
      <c r="N311" s="1042">
        <f>SUM(N305:N309)</f>
        <v>4183</v>
      </c>
    </row>
    <row r="312" spans="1:14" s="1039" customFormat="1" ht="12" hidden="1" thickTop="1">
      <c r="A312" s="980"/>
      <c r="B312" s="1037"/>
      <c r="C312" s="1038"/>
      <c r="D312" s="1038"/>
      <c r="E312" s="1038"/>
      <c r="F312" s="1038"/>
      <c r="G312" s="1038"/>
      <c r="H312" s="1044"/>
      <c r="I312" s="1038"/>
      <c r="J312" s="1044"/>
      <c r="K312" s="1038"/>
      <c r="L312" s="1044"/>
      <c r="M312" s="1038"/>
      <c r="N312" s="1044"/>
    </row>
    <row r="313" spans="1:14" s="1039" customFormat="1" ht="11.25" hidden="1">
      <c r="A313" s="980"/>
      <c r="B313" s="1037"/>
      <c r="C313" s="1038"/>
      <c r="D313" s="1038"/>
      <c r="E313" s="1038"/>
      <c r="F313" s="1038"/>
      <c r="G313" s="1038"/>
      <c r="H313" s="3174" t="s">
        <v>1029</v>
      </c>
      <c r="I313" s="3174"/>
      <c r="J313" s="3174"/>
      <c r="K313" s="3174"/>
      <c r="L313" s="3174"/>
      <c r="M313" s="3174"/>
      <c r="N313" s="3174"/>
    </row>
    <row r="314" spans="1:14" s="1039" customFormat="1" ht="33.75" hidden="1" customHeight="1">
      <c r="A314" s="980"/>
      <c r="B314" s="1037"/>
      <c r="C314" s="1038"/>
      <c r="D314" s="1038"/>
      <c r="E314" s="1038"/>
      <c r="F314" s="1038"/>
      <c r="G314" s="1038"/>
      <c r="H314" s="3171" t="s">
        <v>943</v>
      </c>
      <c r="I314" s="1526"/>
      <c r="J314" s="3171" t="s">
        <v>944</v>
      </c>
      <c r="K314" s="1526"/>
      <c r="L314" s="3171" t="s">
        <v>945</v>
      </c>
      <c r="M314" s="1526"/>
      <c r="N314" s="3171" t="s">
        <v>681</v>
      </c>
    </row>
    <row r="315" spans="1:14" s="1039" customFormat="1" ht="11.25" hidden="1">
      <c r="A315" s="980"/>
      <c r="B315" s="1037"/>
      <c r="C315" s="1038"/>
      <c r="D315" s="1038"/>
      <c r="E315" s="1038"/>
      <c r="F315" s="1038"/>
      <c r="G315" s="1038"/>
      <c r="H315" s="3172"/>
      <c r="I315" s="1526"/>
      <c r="J315" s="3172"/>
      <c r="K315" s="1526"/>
      <c r="L315" s="3172"/>
      <c r="M315" s="1526"/>
      <c r="N315" s="3172"/>
    </row>
    <row r="316" spans="1:14" s="1039" customFormat="1" ht="11.25" hidden="1">
      <c r="A316" s="980"/>
      <c r="B316" s="1037"/>
      <c r="C316" s="1038"/>
      <c r="D316" s="1038"/>
      <c r="E316" s="1038"/>
      <c r="F316" s="1038"/>
      <c r="G316" s="1038"/>
      <c r="H316" s="3172"/>
      <c r="I316" s="1040"/>
      <c r="J316" s="3172"/>
      <c r="K316" s="1526"/>
      <c r="L316" s="3172"/>
      <c r="M316" s="1040"/>
      <c r="N316" s="3172"/>
    </row>
    <row r="317" spans="1:14" s="1039" customFormat="1" ht="11.25" hidden="1">
      <c r="A317" s="980"/>
      <c r="B317" s="1037"/>
      <c r="C317" s="1038"/>
      <c r="D317" s="1038"/>
      <c r="E317" s="1038"/>
      <c r="F317" s="1038"/>
      <c r="G317" s="1038"/>
      <c r="H317" s="3173" t="s">
        <v>1030</v>
      </c>
      <c r="I317" s="3173"/>
      <c r="J317" s="3173"/>
      <c r="K317" s="3173"/>
      <c r="L317" s="3173"/>
      <c r="M317" s="3173"/>
      <c r="N317" s="3173"/>
    </row>
    <row r="318" spans="1:14" s="1039" customFormat="1" ht="11.25" hidden="1">
      <c r="A318" s="980"/>
      <c r="B318" s="1037"/>
      <c r="C318" s="1038"/>
      <c r="D318" s="1038"/>
      <c r="E318" s="1038"/>
      <c r="F318" s="1038"/>
      <c r="G318" s="1038"/>
      <c r="H318" s="1038"/>
      <c r="I318" s="1038"/>
      <c r="J318" s="1038"/>
      <c r="K318" s="1038"/>
      <c r="L318" s="1038"/>
      <c r="M318" s="1038"/>
      <c r="N318" s="1038"/>
    </row>
    <row r="319" spans="1:14" s="1039" customFormat="1" ht="11.25" hidden="1">
      <c r="A319" s="980"/>
      <c r="B319" s="1037" t="s">
        <v>1045</v>
      </c>
      <c r="C319" s="1038"/>
      <c r="D319" s="1038"/>
      <c r="E319" s="1038"/>
      <c r="F319" s="1038"/>
      <c r="G319" s="1038"/>
      <c r="H319" s="1041">
        <f>L388</f>
        <v>2753</v>
      </c>
      <c r="I319" s="1041"/>
      <c r="J319" s="1041">
        <v>0</v>
      </c>
      <c r="K319" s="1041"/>
      <c r="L319" s="1041">
        <v>0</v>
      </c>
      <c r="M319" s="1041"/>
      <c r="N319" s="1041">
        <f>L319+J319+H319</f>
        <v>2753</v>
      </c>
    </row>
    <row r="320" spans="1:14" s="1039" customFormat="1" ht="11.25" hidden="1">
      <c r="A320" s="980"/>
      <c r="B320" s="1037" t="s">
        <v>1527</v>
      </c>
      <c r="C320" s="1038"/>
      <c r="D320" s="1038"/>
      <c r="E320" s="1038"/>
      <c r="F320" s="1038"/>
      <c r="G320" s="1038"/>
      <c r="I320" s="1045"/>
      <c r="J320" s="1045"/>
      <c r="K320" s="1045"/>
      <c r="L320" s="1045"/>
      <c r="M320" s="1045"/>
      <c r="N320" s="1045"/>
    </row>
    <row r="321" spans="1:14" s="1039" customFormat="1" ht="11.25" hidden="1">
      <c r="A321" s="980"/>
      <c r="B321" s="1046" t="s">
        <v>1032</v>
      </c>
      <c r="C321" s="1038"/>
      <c r="D321" s="1038"/>
      <c r="E321" s="1038"/>
      <c r="F321" s="1038"/>
      <c r="G321" s="1038"/>
      <c r="H321" s="1041">
        <f>L389</f>
        <v>48</v>
      </c>
      <c r="I321" s="1041"/>
      <c r="J321" s="1041">
        <v>0</v>
      </c>
      <c r="K321" s="1041"/>
      <c r="L321" s="1041">
        <v>0</v>
      </c>
      <c r="M321" s="1041"/>
      <c r="N321" s="1041">
        <f>L321+J321+H321</f>
        <v>48</v>
      </c>
    </row>
    <row r="322" spans="1:14" s="1039" customFormat="1" ht="11.25" hidden="1">
      <c r="A322" s="980"/>
      <c r="B322" s="1037" t="s">
        <v>973</v>
      </c>
      <c r="C322" s="1038"/>
      <c r="D322" s="1038"/>
      <c r="E322" s="1038"/>
      <c r="F322" s="1038"/>
      <c r="G322" s="1038"/>
      <c r="H322" s="1041">
        <f>L390</f>
        <v>2079</v>
      </c>
      <c r="I322" s="1041"/>
      <c r="J322" s="1041">
        <v>0</v>
      </c>
      <c r="K322" s="1041"/>
      <c r="L322" s="1041">
        <v>0</v>
      </c>
      <c r="M322" s="1041"/>
      <c r="N322" s="1041">
        <f>L322+J322+H322</f>
        <v>2079</v>
      </c>
    </row>
    <row r="323" spans="1:14" s="1039" customFormat="1" ht="11.25" hidden="1">
      <c r="A323" s="980"/>
      <c r="B323" s="1037" t="s">
        <v>1336</v>
      </c>
      <c r="C323" s="1038"/>
      <c r="D323" s="1038"/>
      <c r="E323" s="1038"/>
      <c r="F323" s="1038"/>
      <c r="G323" s="1038"/>
      <c r="H323" s="1041">
        <v>39299</v>
      </c>
      <c r="I323" s="1041"/>
      <c r="J323" s="1041"/>
      <c r="K323" s="1041"/>
      <c r="L323" s="1041"/>
      <c r="M323" s="1041"/>
      <c r="N323" s="1041">
        <f>L323+J323+H323</f>
        <v>39299</v>
      </c>
    </row>
    <row r="324" spans="1:14" s="1039" customFormat="1" ht="11.25" hidden="1">
      <c r="A324" s="980"/>
      <c r="B324" s="1037" t="s">
        <v>692</v>
      </c>
      <c r="C324" s="1038"/>
      <c r="D324" s="1038"/>
      <c r="E324" s="1038"/>
      <c r="F324" s="1038"/>
      <c r="G324" s="1038"/>
      <c r="H324" s="1041">
        <v>4260</v>
      </c>
      <c r="I324" s="1041"/>
      <c r="J324" s="1041">
        <v>0</v>
      </c>
      <c r="K324" s="1041"/>
      <c r="L324" s="1041">
        <v>0</v>
      </c>
      <c r="M324" s="1041"/>
      <c r="N324" s="1041">
        <f>L324+J324+H324</f>
        <v>4260</v>
      </c>
    </row>
    <row r="325" spans="1:14" s="1039" customFormat="1" ht="5.25" hidden="1" customHeight="1">
      <c r="A325" s="980"/>
      <c r="B325" s="1037"/>
      <c r="C325" s="1038"/>
      <c r="D325" s="1038"/>
      <c r="E325" s="1038"/>
      <c r="F325" s="1038"/>
      <c r="G325" s="1038"/>
      <c r="H325" s="1041"/>
      <c r="I325" s="1041"/>
      <c r="J325" s="1041"/>
      <c r="K325" s="1041"/>
      <c r="L325" s="1041"/>
      <c r="M325" s="1041"/>
      <c r="N325" s="1041"/>
    </row>
    <row r="326" spans="1:14" s="1039" customFormat="1" ht="21" hidden="1" customHeight="1" thickBot="1">
      <c r="A326" s="980"/>
      <c r="B326" s="1037"/>
      <c r="C326" s="1038"/>
      <c r="D326" s="1038"/>
      <c r="E326" s="1038"/>
      <c r="F326" s="1038"/>
      <c r="G326" s="1038"/>
      <c r="H326" s="1042">
        <f>SUM(H319:H324)</f>
        <v>48439</v>
      </c>
      <c r="I326" s="1041"/>
      <c r="J326" s="1042">
        <v>0</v>
      </c>
      <c r="K326" s="1041"/>
      <c r="L326" s="1042">
        <v>0</v>
      </c>
      <c r="M326" s="1041"/>
      <c r="N326" s="1042">
        <f>SUM(N319:N324)</f>
        <v>48439</v>
      </c>
    </row>
    <row r="327" spans="1:14" s="1008" customFormat="1" ht="21.75" hidden="1" customHeight="1" thickTop="1">
      <c r="A327" s="1019"/>
      <c r="B327" s="993"/>
      <c r="C327" s="988"/>
      <c r="D327" s="988"/>
      <c r="E327" s="988"/>
      <c r="F327" s="988"/>
      <c r="G327" s="988"/>
      <c r="H327" s="869"/>
      <c r="I327" s="988"/>
      <c r="J327" s="869"/>
      <c r="K327" s="988"/>
      <c r="L327" s="869"/>
      <c r="M327" s="988"/>
      <c r="N327" s="869"/>
    </row>
    <row r="328" spans="1:14" s="1008" customFormat="1" ht="21.75" hidden="1" customHeight="1">
      <c r="A328" s="1019"/>
      <c r="B328" s="993"/>
      <c r="C328" s="988"/>
      <c r="D328" s="988"/>
      <c r="E328" s="988"/>
      <c r="F328" s="988"/>
      <c r="G328" s="988"/>
      <c r="H328" s="869"/>
      <c r="I328" s="988"/>
      <c r="J328" s="869"/>
      <c r="K328" s="988"/>
      <c r="L328" s="869"/>
      <c r="M328" s="988"/>
      <c r="N328" s="869"/>
    </row>
    <row r="329" spans="1:14" s="1008" customFormat="1" hidden="1">
      <c r="A329" s="1047">
        <f>A272+0.1</f>
        <v>25.400000000000006</v>
      </c>
      <c r="B329" s="987" t="s">
        <v>1033</v>
      </c>
      <c r="C329" s="988"/>
      <c r="D329" s="988"/>
      <c r="E329" s="988"/>
      <c r="F329" s="988"/>
      <c r="G329" s="988"/>
      <c r="H329" s="869"/>
      <c r="I329" s="988"/>
      <c r="J329" s="869"/>
      <c r="K329" s="988"/>
      <c r="L329" s="869"/>
      <c r="M329" s="988"/>
      <c r="N329" s="869"/>
    </row>
    <row r="330" spans="1:14" s="1008" customFormat="1" hidden="1">
      <c r="A330" s="1019"/>
      <c r="B330" s="993"/>
      <c r="C330" s="988"/>
      <c r="D330" s="988"/>
      <c r="E330" s="988"/>
      <c r="F330" s="988"/>
      <c r="G330" s="988"/>
      <c r="H330" s="869"/>
      <c r="I330" s="988"/>
      <c r="J330" s="869"/>
      <c r="K330" s="988"/>
      <c r="L330" s="869"/>
      <c r="M330" s="988"/>
      <c r="N330" s="869"/>
    </row>
    <row r="331" spans="1:14" s="1039" customFormat="1" ht="11.25" hidden="1">
      <c r="A331" s="980"/>
      <c r="B331" s="1037"/>
      <c r="C331" s="1038"/>
      <c r="D331" s="1038"/>
      <c r="E331" s="1038"/>
      <c r="F331" s="1038"/>
      <c r="G331" s="1038"/>
      <c r="H331" s="3174" t="s">
        <v>1535</v>
      </c>
      <c r="I331" s="3174"/>
      <c r="J331" s="3174"/>
      <c r="K331" s="3174"/>
      <c r="L331" s="3174"/>
      <c r="M331" s="3174"/>
      <c r="N331" s="3174"/>
    </row>
    <row r="332" spans="1:14" s="1039" customFormat="1" ht="23.25" hidden="1" customHeight="1">
      <c r="A332" s="980"/>
      <c r="B332" s="1037"/>
      <c r="C332" s="1038"/>
      <c r="D332" s="1038"/>
      <c r="E332" s="1038"/>
      <c r="F332" s="1038"/>
      <c r="G332" s="1038"/>
      <c r="H332" s="3175" t="s">
        <v>1034</v>
      </c>
      <c r="I332" s="1526"/>
      <c r="J332" s="3175" t="s">
        <v>1035</v>
      </c>
      <c r="K332" s="1528"/>
      <c r="L332" s="3175" t="s">
        <v>1036</v>
      </c>
      <c r="M332" s="1526"/>
      <c r="N332" s="3171" t="s">
        <v>681</v>
      </c>
    </row>
    <row r="333" spans="1:14" s="1039" customFormat="1" ht="11.25" hidden="1">
      <c r="A333" s="980"/>
      <c r="B333" s="1037"/>
      <c r="C333" s="1038"/>
      <c r="D333" s="1038"/>
      <c r="E333" s="1038"/>
      <c r="F333" s="1038"/>
      <c r="G333" s="1038"/>
      <c r="H333" s="3176"/>
      <c r="I333" s="1526"/>
      <c r="J333" s="3176"/>
      <c r="K333" s="1528"/>
      <c r="L333" s="3176"/>
      <c r="M333" s="1526"/>
      <c r="N333" s="3172"/>
    </row>
    <row r="334" spans="1:14" s="1039" customFormat="1" ht="12" hidden="1" customHeight="1">
      <c r="A334" s="980"/>
      <c r="B334" s="1037"/>
      <c r="C334" s="1038"/>
      <c r="D334" s="1038"/>
      <c r="E334" s="1038"/>
      <c r="F334" s="1038"/>
      <c r="G334" s="1038"/>
      <c r="H334" s="3176"/>
      <c r="I334" s="1526"/>
      <c r="J334" s="3176"/>
      <c r="K334" s="1528"/>
      <c r="L334" s="3176"/>
      <c r="M334" s="1526"/>
      <c r="N334" s="3172"/>
    </row>
    <row r="335" spans="1:14" s="1039" customFormat="1" ht="12" hidden="1" customHeight="1">
      <c r="A335" s="980"/>
      <c r="B335" s="1037"/>
      <c r="C335" s="1038"/>
      <c r="D335" s="1038"/>
      <c r="E335" s="1038"/>
      <c r="F335" s="1038"/>
      <c r="G335" s="1038"/>
      <c r="H335" s="3176"/>
      <c r="I335" s="1526"/>
      <c r="J335" s="3176"/>
      <c r="K335" s="1528"/>
      <c r="L335" s="3176"/>
      <c r="M335" s="1526"/>
      <c r="N335" s="3172"/>
    </row>
    <row r="336" spans="1:14" s="1039" customFormat="1" ht="11.25" hidden="1">
      <c r="A336" s="980"/>
      <c r="B336" s="1037"/>
      <c r="C336" s="1038"/>
      <c r="D336" s="1038"/>
      <c r="E336" s="1038"/>
      <c r="F336" s="1038"/>
      <c r="G336" s="1038"/>
      <c r="H336" s="3176"/>
      <c r="I336" s="1040"/>
      <c r="J336" s="3176"/>
      <c r="K336" s="1528"/>
      <c r="L336" s="3176"/>
      <c r="M336" s="1040"/>
      <c r="N336" s="3172"/>
    </row>
    <row r="337" spans="1:14" s="1039" customFormat="1" ht="11.25" hidden="1">
      <c r="A337" s="980"/>
      <c r="B337" s="1048" t="s">
        <v>838</v>
      </c>
      <c r="C337" s="1038"/>
      <c r="D337" s="1038"/>
      <c r="E337" s="1038"/>
      <c r="F337" s="1038"/>
      <c r="G337" s="1038"/>
      <c r="H337" s="3173" t="s">
        <v>1038</v>
      </c>
      <c r="I337" s="3173"/>
      <c r="J337" s="3173"/>
      <c r="K337" s="3173"/>
      <c r="L337" s="3173"/>
      <c r="M337" s="3173"/>
      <c r="N337" s="3173"/>
    </row>
    <row r="338" spans="1:14" s="1039" customFormat="1" ht="11.25" hidden="1">
      <c r="A338" s="980"/>
      <c r="B338" s="1048"/>
      <c r="C338" s="1038"/>
      <c r="D338" s="1038"/>
      <c r="E338" s="1038"/>
      <c r="F338" s="1038"/>
      <c r="G338" s="1038"/>
      <c r="H338" s="1049"/>
      <c r="I338" s="1038"/>
      <c r="J338" s="1038"/>
      <c r="K338" s="1038"/>
      <c r="L338" s="1038"/>
      <c r="M338" s="1038"/>
      <c r="N338" s="1038"/>
    </row>
    <row r="339" spans="1:14" s="1039" customFormat="1" ht="11.25" hidden="1">
      <c r="A339" s="980"/>
      <c r="B339" s="1037" t="s">
        <v>684</v>
      </c>
      <c r="C339" s="1038"/>
      <c r="D339" s="1038"/>
      <c r="E339" s="1038"/>
      <c r="F339" s="1038"/>
      <c r="G339" s="1038"/>
      <c r="H339" s="1041">
        <f>BS!F11</f>
        <v>368828</v>
      </c>
      <c r="J339" s="1044">
        <v>0</v>
      </c>
      <c r="K339" s="1041"/>
      <c r="L339" s="1041">
        <v>0</v>
      </c>
      <c r="M339" s="1041"/>
      <c r="N339" s="1041">
        <f t="shared" ref="N339:N344" si="0">J339+H339+L339</f>
        <v>368828</v>
      </c>
    </row>
    <row r="340" spans="1:14" s="1039" customFormat="1" ht="11.25" hidden="1">
      <c r="A340" s="980"/>
      <c r="B340" s="1037" t="s">
        <v>686</v>
      </c>
      <c r="C340" s="1038"/>
      <c r="D340" s="1038"/>
      <c r="E340" s="1038"/>
      <c r="F340" s="1038"/>
      <c r="G340" s="1038"/>
      <c r="H340" s="1041">
        <f>'1-4.1'!D980</f>
        <v>0</v>
      </c>
      <c r="J340" s="1044">
        <f>'1-4.1'!D974</f>
        <v>0</v>
      </c>
      <c r="K340" s="1041"/>
      <c r="L340" s="1041">
        <f>'1-4.1'!D970</f>
        <v>0</v>
      </c>
      <c r="M340" s="1041"/>
      <c r="N340" s="1041">
        <f t="shared" si="0"/>
        <v>0</v>
      </c>
    </row>
    <row r="341" spans="1:14" s="1039" customFormat="1" ht="11.25" hidden="1">
      <c r="A341" s="980"/>
      <c r="B341" s="1037" t="str">
        <f>BS!A14</f>
        <v>Dividend, profit and other receivable</v>
      </c>
      <c r="C341" s="1038"/>
      <c r="D341" s="1038"/>
      <c r="E341" s="1038"/>
      <c r="F341" s="1038"/>
      <c r="G341" s="1038"/>
      <c r="H341" s="1041">
        <f>BS!F14</f>
        <v>14671</v>
      </c>
      <c r="J341" s="1044">
        <v>0</v>
      </c>
      <c r="K341" s="1041"/>
      <c r="L341" s="1041">
        <v>0</v>
      </c>
      <c r="M341" s="1041"/>
      <c r="N341" s="1041">
        <f t="shared" si="0"/>
        <v>14671</v>
      </c>
    </row>
    <row r="342" spans="1:14" s="1039" customFormat="1" ht="11.25" hidden="1">
      <c r="A342" s="980"/>
      <c r="B342" s="1037" t="e">
        <f>BS!#REF!</f>
        <v>#REF!</v>
      </c>
      <c r="C342" s="1038"/>
      <c r="D342" s="1038"/>
      <c r="E342" s="1038"/>
      <c r="F342" s="1038"/>
      <c r="G342" s="1038"/>
      <c r="H342" s="1041" t="e">
        <f>BS!#REF!</f>
        <v>#REF!</v>
      </c>
      <c r="J342" s="1044">
        <v>0</v>
      </c>
      <c r="K342" s="1041"/>
      <c r="L342" s="1041">
        <v>0</v>
      </c>
      <c r="M342" s="1041"/>
      <c r="N342" s="1041" t="e">
        <f>J342+H342+L342</f>
        <v>#REF!</v>
      </c>
    </row>
    <row r="343" spans="1:14" s="1039" customFormat="1" ht="11.25" hidden="1">
      <c r="A343" s="980"/>
      <c r="B343" s="1037" t="str">
        <f>BS!A17</f>
        <v>Advances, deposits and prepayments</v>
      </c>
      <c r="C343" s="1038"/>
      <c r="D343" s="1038"/>
      <c r="E343" s="1038"/>
      <c r="F343" s="1038"/>
      <c r="G343" s="1038"/>
      <c r="H343" s="1041" t="e">
        <f>N95</f>
        <v>#REF!</v>
      </c>
      <c r="J343" s="1044">
        <v>0</v>
      </c>
      <c r="K343" s="1041"/>
      <c r="L343" s="1041">
        <v>0</v>
      </c>
      <c r="M343" s="1041"/>
      <c r="N343" s="1041" t="e">
        <f t="shared" si="0"/>
        <v>#REF!</v>
      </c>
    </row>
    <row r="344" spans="1:14" s="1039" customFormat="1" ht="11.25" hidden="1">
      <c r="A344" s="980"/>
      <c r="B344" s="1037" t="s">
        <v>1437</v>
      </c>
      <c r="C344" s="1038"/>
      <c r="D344" s="1038"/>
      <c r="E344" s="1038"/>
      <c r="F344" s="1038"/>
      <c r="G344" s="1038"/>
      <c r="H344" s="1041">
        <f>N98</f>
        <v>11748</v>
      </c>
      <c r="J344" s="1044">
        <v>0</v>
      </c>
      <c r="K344" s="1041"/>
      <c r="L344" s="1041">
        <v>0</v>
      </c>
      <c r="M344" s="1041"/>
      <c r="N344" s="1041">
        <f t="shared" si="0"/>
        <v>11748</v>
      </c>
    </row>
    <row r="345" spans="1:14" s="1039" customFormat="1" ht="3.75" hidden="1" customHeight="1">
      <c r="A345" s="980"/>
      <c r="B345" s="1037"/>
      <c r="C345" s="1038"/>
      <c r="D345" s="1038"/>
      <c r="E345" s="1038"/>
      <c r="F345" s="1038"/>
      <c r="G345" s="1038"/>
      <c r="H345" s="1041"/>
      <c r="J345" s="1044"/>
      <c r="K345" s="1041"/>
      <c r="L345" s="1041"/>
      <c r="M345" s="1041"/>
      <c r="N345" s="1041"/>
    </row>
    <row r="346" spans="1:14" s="1039" customFormat="1" ht="21" hidden="1" customHeight="1" thickBot="1">
      <c r="A346" s="980"/>
      <c r="B346" s="1038"/>
      <c r="C346" s="1038"/>
      <c r="D346" s="1038"/>
      <c r="E346" s="1038"/>
      <c r="F346" s="1038"/>
      <c r="G346" s="1038"/>
      <c r="H346" s="1042" t="e">
        <f>SUM(H339:H344)</f>
        <v>#REF!</v>
      </c>
      <c r="J346" s="1042">
        <f>SUM(J339:J344)</f>
        <v>0</v>
      </c>
      <c r="K346" s="1043"/>
      <c r="L346" s="1042">
        <f>SUM(L339:L344)</f>
        <v>0</v>
      </c>
      <c r="M346" s="1043"/>
      <c r="N346" s="1042" t="e">
        <f>SUM(N339:N344)</f>
        <v>#REF!</v>
      </c>
    </row>
    <row r="347" spans="1:14" s="1039" customFormat="1" ht="16.5" hidden="1" customHeight="1" thickTop="1">
      <c r="A347" s="980"/>
      <c r="B347" s="1037"/>
      <c r="C347" s="1038"/>
      <c r="D347" s="1038"/>
      <c r="E347" s="1038"/>
      <c r="F347" s="1038"/>
      <c r="G347" s="1038"/>
      <c r="H347" s="1050"/>
      <c r="I347" s="1038"/>
      <c r="J347" s="1050"/>
      <c r="K347" s="1043"/>
      <c r="L347" s="1050"/>
      <c r="M347" s="1043"/>
      <c r="N347" s="1050"/>
    </row>
    <row r="348" spans="1:14" s="1039" customFormat="1" ht="11.25" hidden="1">
      <c r="A348" s="980"/>
      <c r="B348" s="1037"/>
      <c r="C348" s="1038"/>
      <c r="D348" s="1038"/>
      <c r="E348" s="1038"/>
      <c r="F348" s="1038"/>
      <c r="G348" s="1038"/>
      <c r="H348" s="1050"/>
      <c r="I348" s="1038"/>
      <c r="J348" s="3174" t="s">
        <v>1535</v>
      </c>
      <c r="K348" s="3174"/>
      <c r="L348" s="3174"/>
      <c r="M348" s="3174"/>
      <c r="N348" s="3174"/>
    </row>
    <row r="349" spans="1:14" s="1039" customFormat="1" ht="11.25" hidden="1">
      <c r="A349" s="980"/>
      <c r="B349" s="1037"/>
      <c r="C349" s="1038"/>
      <c r="D349" s="1038"/>
      <c r="E349" s="1038"/>
      <c r="F349" s="1038"/>
      <c r="G349" s="1038"/>
      <c r="H349" s="1050"/>
      <c r="I349" s="1038"/>
      <c r="J349" s="3175" t="s">
        <v>1039</v>
      </c>
      <c r="K349" s="1528"/>
      <c r="L349" s="3175" t="s">
        <v>1040</v>
      </c>
      <c r="M349" s="1526"/>
      <c r="N349" s="3171" t="s">
        <v>681</v>
      </c>
    </row>
    <row r="350" spans="1:14" s="1039" customFormat="1" ht="11.25" hidden="1">
      <c r="A350" s="980"/>
      <c r="B350" s="1037"/>
      <c r="C350" s="1038"/>
      <c r="D350" s="1038"/>
      <c r="E350" s="1038"/>
      <c r="F350" s="1038"/>
      <c r="G350" s="1038"/>
      <c r="H350" s="1050"/>
      <c r="I350" s="1038"/>
      <c r="J350" s="3176"/>
      <c r="K350" s="1528"/>
      <c r="L350" s="3176"/>
      <c r="M350" s="1526"/>
      <c r="N350" s="3172"/>
    </row>
    <row r="351" spans="1:14" s="1039" customFormat="1" ht="14.25" hidden="1" customHeight="1">
      <c r="A351" s="980"/>
      <c r="B351" s="1037"/>
      <c r="C351" s="1038"/>
      <c r="D351" s="1038"/>
      <c r="E351" s="1038"/>
      <c r="F351" s="1038"/>
      <c r="G351" s="1038"/>
      <c r="H351" s="1050"/>
      <c r="I351" s="1038"/>
      <c r="J351" s="3176"/>
      <c r="K351" s="1528"/>
      <c r="L351" s="3176"/>
      <c r="M351" s="1526"/>
      <c r="N351" s="3172"/>
    </row>
    <row r="352" spans="1:14" s="1039" customFormat="1" ht="11.25" hidden="1">
      <c r="A352" s="980"/>
      <c r="B352" s="1037"/>
      <c r="C352" s="1038"/>
      <c r="D352" s="1038"/>
      <c r="E352" s="1038"/>
      <c r="F352" s="1038"/>
      <c r="G352" s="1038"/>
      <c r="H352" s="1050"/>
      <c r="I352" s="1038"/>
      <c r="J352" s="3176"/>
      <c r="K352" s="1528"/>
      <c r="L352" s="3176"/>
      <c r="M352" s="1040"/>
      <c r="N352" s="3172"/>
    </row>
    <row r="353" spans="1:14" s="1039" customFormat="1" ht="11.25" hidden="1">
      <c r="A353" s="980"/>
      <c r="B353" s="1048" t="s">
        <v>842</v>
      </c>
      <c r="C353" s="1038"/>
      <c r="D353" s="1038"/>
      <c r="E353" s="1038"/>
      <c r="F353" s="1038"/>
      <c r="G353" s="1038"/>
      <c r="H353" s="1050"/>
      <c r="I353" s="1038"/>
      <c r="J353" s="3173" t="s">
        <v>1041</v>
      </c>
      <c r="K353" s="3173"/>
      <c r="L353" s="3173"/>
      <c r="M353" s="3173"/>
      <c r="N353" s="3173"/>
    </row>
    <row r="354" spans="1:14" s="1039" customFormat="1" ht="11.25" hidden="1">
      <c r="A354" s="980"/>
      <c r="B354" s="1048"/>
      <c r="C354" s="1038"/>
      <c r="D354" s="1038"/>
      <c r="E354" s="1038"/>
      <c r="F354" s="1038"/>
      <c r="G354" s="1038"/>
      <c r="H354" s="1050"/>
      <c r="I354" s="1038"/>
      <c r="J354" s="1050"/>
      <c r="K354" s="1038"/>
      <c r="L354" s="1050"/>
      <c r="M354" s="1038"/>
      <c r="N354" s="1050"/>
    </row>
    <row r="355" spans="1:14" s="1039" customFormat="1" ht="11.25" hidden="1">
      <c r="A355" s="980"/>
      <c r="B355" s="1037" t="s">
        <v>1045</v>
      </c>
      <c r="C355" s="1038"/>
      <c r="D355" s="1038"/>
      <c r="E355" s="1038"/>
      <c r="F355" s="1038"/>
      <c r="G355" s="1038"/>
      <c r="H355" s="1050"/>
      <c r="I355" s="1038"/>
      <c r="J355" s="1044">
        <v>0</v>
      </c>
      <c r="K355" s="1038"/>
      <c r="L355" s="1044">
        <f>L105</f>
        <v>1337</v>
      </c>
      <c r="M355" s="1038"/>
      <c r="N355" s="1044">
        <f>+L355+J355</f>
        <v>1337</v>
      </c>
    </row>
    <row r="356" spans="1:14" s="1039" customFormat="1" ht="11.25" hidden="1">
      <c r="A356" s="980"/>
      <c r="B356" s="1037" t="s">
        <v>1046</v>
      </c>
      <c r="C356" s="1038"/>
      <c r="D356" s="1038"/>
      <c r="E356" s="1038"/>
      <c r="F356" s="1038"/>
      <c r="G356" s="1038"/>
      <c r="H356" s="1050"/>
      <c r="I356" s="1038"/>
      <c r="J356" s="1044">
        <v>0</v>
      </c>
      <c r="K356" s="1038"/>
      <c r="L356" s="1044">
        <f>BS!F24</f>
        <v>63</v>
      </c>
      <c r="M356" s="1038"/>
      <c r="N356" s="1044">
        <f>+L356+J356</f>
        <v>63</v>
      </c>
    </row>
    <row r="357" spans="1:14" s="1039" customFormat="1" ht="11.25" hidden="1">
      <c r="A357" s="980"/>
      <c r="B357" s="1037" t="s">
        <v>691</v>
      </c>
      <c r="C357" s="1038"/>
      <c r="D357" s="1038"/>
      <c r="E357" s="1038"/>
      <c r="F357" s="1038"/>
      <c r="G357" s="1038"/>
      <c r="H357" s="1050"/>
      <c r="I357" s="1038"/>
      <c r="J357" s="1044">
        <v>0</v>
      </c>
      <c r="K357" s="1038"/>
      <c r="L357" s="1044">
        <f>BS!F26</f>
        <v>2079</v>
      </c>
      <c r="M357" s="1038"/>
      <c r="N357" s="1044">
        <f>+L357+J357</f>
        <v>2079</v>
      </c>
    </row>
    <row r="358" spans="1:14" s="1039" customFormat="1" ht="11.25" hidden="1">
      <c r="A358" s="980"/>
      <c r="B358" s="1037" t="s">
        <v>692</v>
      </c>
      <c r="C358" s="1038"/>
      <c r="D358" s="1038"/>
      <c r="E358" s="1038"/>
      <c r="F358" s="1038"/>
      <c r="G358" s="1038"/>
      <c r="H358" s="1050"/>
      <c r="I358" s="1038"/>
      <c r="J358" s="1044">
        <v>0</v>
      </c>
      <c r="K358" s="1038"/>
      <c r="L358" s="1044">
        <f>BS!F27</f>
        <v>23640</v>
      </c>
      <c r="M358" s="1038"/>
      <c r="N358" s="1044">
        <f>+L358+J358</f>
        <v>23640</v>
      </c>
    </row>
    <row r="359" spans="1:14" s="1039" customFormat="1" ht="6" hidden="1" customHeight="1">
      <c r="A359" s="980"/>
      <c r="B359" s="1037"/>
      <c r="C359" s="1038"/>
      <c r="D359" s="1038"/>
      <c r="E359" s="1038"/>
      <c r="F359" s="1038"/>
      <c r="G359" s="1038"/>
      <c r="H359" s="1050"/>
      <c r="I359" s="1038"/>
      <c r="J359" s="1044"/>
      <c r="K359" s="1038"/>
      <c r="L359" s="1044"/>
      <c r="M359" s="1038"/>
      <c r="N359" s="1044"/>
    </row>
    <row r="360" spans="1:14" s="1039" customFormat="1" ht="21" hidden="1" customHeight="1" thickBot="1">
      <c r="A360" s="980"/>
      <c r="B360" s="1037"/>
      <c r="C360" s="1038"/>
      <c r="D360" s="1038"/>
      <c r="E360" s="1038"/>
      <c r="F360" s="1038"/>
      <c r="G360" s="1038"/>
      <c r="H360" s="1050"/>
      <c r="I360" s="1038"/>
      <c r="J360" s="1042">
        <f>SUM(J355:J358)</f>
        <v>0</v>
      </c>
      <c r="K360" s="1038"/>
      <c r="L360" s="1042">
        <f>SUM(L355:L358)</f>
        <v>27119</v>
      </c>
      <c r="M360" s="1038"/>
      <c r="N360" s="1042">
        <f>SUM(N355:N358)</f>
        <v>27119</v>
      </c>
    </row>
    <row r="361" spans="1:14" s="1039" customFormat="1" ht="4.5" hidden="1" customHeight="1" thickTop="1">
      <c r="A361" s="980"/>
      <c r="B361" s="1037"/>
      <c r="C361" s="1038"/>
      <c r="D361" s="1038"/>
      <c r="E361" s="1038"/>
      <c r="F361" s="1038"/>
      <c r="G361" s="1038"/>
      <c r="H361" s="1050"/>
      <c r="I361" s="1038"/>
      <c r="J361" s="1050"/>
      <c r="K361" s="1038"/>
      <c r="L361" s="1044"/>
      <c r="M361" s="1038"/>
      <c r="N361" s="1050"/>
    </row>
    <row r="362" spans="1:14" s="1039" customFormat="1" ht="11.25" hidden="1">
      <c r="A362" s="980"/>
      <c r="B362" s="1037"/>
      <c r="C362" s="1038"/>
      <c r="D362" s="1038"/>
      <c r="E362" s="1038"/>
      <c r="F362" s="1038"/>
      <c r="G362" s="1038"/>
      <c r="H362" s="1050"/>
      <c r="I362" s="1038"/>
      <c r="J362" s="1050"/>
      <c r="K362" s="1038"/>
      <c r="L362" s="1044"/>
      <c r="M362" s="1038"/>
      <c r="N362" s="1050"/>
    </row>
    <row r="363" spans="1:14" s="1039" customFormat="1" ht="11.25" hidden="1">
      <c r="A363" s="980"/>
      <c r="B363" s="1037"/>
      <c r="C363" s="1038"/>
      <c r="D363" s="1038"/>
      <c r="E363" s="1038"/>
      <c r="F363" s="1038"/>
      <c r="G363" s="1038"/>
      <c r="H363" s="3174" t="s">
        <v>1029</v>
      </c>
      <c r="I363" s="3174"/>
      <c r="J363" s="3174"/>
      <c r="K363" s="3174"/>
      <c r="L363" s="3174"/>
      <c r="M363" s="3174"/>
      <c r="N363" s="3174"/>
    </row>
    <row r="364" spans="1:14" s="1039" customFormat="1" ht="11.25" hidden="1">
      <c r="A364" s="980"/>
      <c r="B364" s="1037"/>
      <c r="C364" s="1038"/>
      <c r="D364" s="1038"/>
      <c r="E364" s="1038"/>
      <c r="F364" s="1038"/>
      <c r="G364" s="1038"/>
      <c r="H364" s="3175" t="s">
        <v>1034</v>
      </c>
      <c r="I364" s="1526"/>
      <c r="J364" s="3175" t="s">
        <v>1035</v>
      </c>
      <c r="K364" s="1528"/>
      <c r="L364" s="3175" t="s">
        <v>1036</v>
      </c>
      <c r="M364" s="1526"/>
      <c r="N364" s="3171" t="s">
        <v>681</v>
      </c>
    </row>
    <row r="365" spans="1:14" s="1039" customFormat="1" ht="11.25" hidden="1">
      <c r="A365" s="980"/>
      <c r="B365" s="1037"/>
      <c r="C365" s="1038"/>
      <c r="D365" s="1038"/>
      <c r="E365" s="1038"/>
      <c r="F365" s="1038"/>
      <c r="G365" s="1038"/>
      <c r="H365" s="3176"/>
      <c r="I365" s="1526"/>
      <c r="J365" s="3176"/>
      <c r="K365" s="1528"/>
      <c r="L365" s="3176"/>
      <c r="M365" s="1526"/>
      <c r="N365" s="3172"/>
    </row>
    <row r="366" spans="1:14" s="1039" customFormat="1" ht="33" hidden="1" customHeight="1">
      <c r="A366" s="980"/>
      <c r="B366" s="1037"/>
      <c r="C366" s="1038"/>
      <c r="D366" s="1038"/>
      <c r="E366" s="1038"/>
      <c r="F366" s="1038"/>
      <c r="G366" s="1038"/>
      <c r="H366" s="3176"/>
      <c r="I366" s="1526"/>
      <c r="J366" s="3176"/>
      <c r="K366" s="1528"/>
      <c r="L366" s="3176"/>
      <c r="M366" s="1526"/>
      <c r="N366" s="3172"/>
    </row>
    <row r="367" spans="1:14" s="1039" customFormat="1" ht="11.25" hidden="1">
      <c r="A367" s="980"/>
      <c r="C367" s="1038"/>
      <c r="D367" s="1038"/>
      <c r="E367" s="1038"/>
      <c r="F367" s="1038"/>
      <c r="G367" s="1038"/>
      <c r="H367" s="3176"/>
      <c r="I367" s="1040"/>
      <c r="J367" s="3176"/>
      <c r="K367" s="1528"/>
      <c r="L367" s="3176"/>
      <c r="M367" s="1040"/>
      <c r="N367" s="3172"/>
    </row>
    <row r="368" spans="1:14" s="1039" customFormat="1" ht="11.25" hidden="1">
      <c r="A368" s="980"/>
      <c r="B368" s="1048" t="s">
        <v>838</v>
      </c>
      <c r="C368" s="1038"/>
      <c r="D368" s="1038"/>
      <c r="E368" s="1038"/>
      <c r="F368" s="1038"/>
      <c r="G368" s="1038"/>
      <c r="H368" s="3173" t="s">
        <v>1038</v>
      </c>
      <c r="I368" s="3173"/>
      <c r="J368" s="3173"/>
      <c r="K368" s="3173"/>
      <c r="L368" s="3173"/>
      <c r="M368" s="3173"/>
      <c r="N368" s="3173"/>
    </row>
    <row r="369" spans="1:14" s="1039" customFormat="1" ht="11.25" hidden="1">
      <c r="A369" s="980"/>
      <c r="B369" s="1048"/>
      <c r="C369" s="1038"/>
      <c r="D369" s="1038"/>
      <c r="E369" s="1038"/>
      <c r="F369" s="1038"/>
      <c r="G369" s="1038"/>
      <c r="H369" s="1049"/>
      <c r="I369" s="1038"/>
      <c r="J369" s="1038"/>
      <c r="K369" s="1038"/>
      <c r="L369" s="1038"/>
      <c r="M369" s="1038"/>
      <c r="N369" s="1038"/>
    </row>
    <row r="370" spans="1:14" s="1039" customFormat="1" ht="11.25" hidden="1">
      <c r="A370" s="980"/>
      <c r="B370" s="1037" t="s">
        <v>684</v>
      </c>
      <c r="C370" s="1038"/>
      <c r="D370" s="1038"/>
      <c r="E370" s="1038"/>
      <c r="F370" s="1038"/>
      <c r="G370" s="1038"/>
      <c r="H370" s="1041">
        <f>N131</f>
        <v>156989</v>
      </c>
      <c r="I370" s="1038"/>
      <c r="J370" s="1045">
        <v>0</v>
      </c>
      <c r="K370" s="1041"/>
      <c r="L370" s="1041">
        <v>0</v>
      </c>
      <c r="M370" s="1041"/>
      <c r="N370" s="1041">
        <f t="shared" ref="N370:N377" si="1">H370+J370+L370</f>
        <v>156989</v>
      </c>
    </row>
    <row r="371" spans="1:14" s="1039" customFormat="1" ht="11.25" hidden="1">
      <c r="A371" s="980"/>
      <c r="B371" s="1037" t="s">
        <v>686</v>
      </c>
      <c r="C371" s="1038"/>
      <c r="D371" s="1038"/>
      <c r="E371" s="1038"/>
      <c r="F371" s="1038"/>
      <c r="G371" s="1038"/>
      <c r="H371" s="1041">
        <v>395246</v>
      </c>
      <c r="I371" s="1038"/>
      <c r="J371" s="1044">
        <v>19598</v>
      </c>
      <c r="K371" s="1041"/>
      <c r="L371" s="1041">
        <v>563068</v>
      </c>
      <c r="M371" s="1041"/>
      <c r="N371" s="1041">
        <f t="shared" si="1"/>
        <v>977912</v>
      </c>
    </row>
    <row r="372" spans="1:14" s="1039" customFormat="1" ht="11.25" hidden="1">
      <c r="A372" s="980"/>
      <c r="B372" s="1037" t="str">
        <f>B341</f>
        <v>Dividend, profit and other receivable</v>
      </c>
      <c r="C372" s="1038"/>
      <c r="D372" s="1038"/>
      <c r="E372" s="1038"/>
      <c r="F372" s="1038"/>
      <c r="G372" s="1038"/>
      <c r="H372" s="1041">
        <v>13863</v>
      </c>
      <c r="I372" s="1038"/>
      <c r="J372" s="1044">
        <v>0</v>
      </c>
      <c r="K372" s="1041"/>
      <c r="L372" s="1041">
        <v>0</v>
      </c>
      <c r="M372" s="1041"/>
      <c r="N372" s="1041">
        <f t="shared" si="1"/>
        <v>13863</v>
      </c>
    </row>
    <row r="373" spans="1:14" s="1039" customFormat="1" ht="11.25" hidden="1">
      <c r="A373" s="980"/>
      <c r="B373" s="1037" t="str">
        <f>B343</f>
        <v>Advances, deposits and prepayments</v>
      </c>
      <c r="C373" s="1038"/>
      <c r="D373" s="1038"/>
      <c r="E373" s="1038"/>
      <c r="F373" s="1038"/>
      <c r="G373" s="1038"/>
      <c r="H373" s="1041">
        <v>2700</v>
      </c>
      <c r="I373" s="1038"/>
      <c r="J373" s="1044">
        <v>0</v>
      </c>
      <c r="K373" s="1041"/>
      <c r="L373" s="1041">
        <v>0</v>
      </c>
      <c r="M373" s="1041"/>
      <c r="N373" s="1041">
        <f t="shared" si="1"/>
        <v>2700</v>
      </c>
    </row>
    <row r="374" spans="1:14" s="1039" customFormat="1" ht="11.25" hidden="1">
      <c r="A374" s="980"/>
      <c r="B374" s="1037" t="e">
        <f>BS!#REF!</f>
        <v>#REF!</v>
      </c>
      <c r="C374" s="1038"/>
      <c r="D374" s="1038"/>
      <c r="E374" s="1038"/>
      <c r="F374" s="1038"/>
      <c r="G374" s="1038"/>
      <c r="H374" s="1041" t="e">
        <f>BS!#REF!</f>
        <v>#REF!</v>
      </c>
      <c r="I374" s="1038"/>
      <c r="J374" s="1044">
        <v>0</v>
      </c>
      <c r="K374" s="1041"/>
      <c r="L374" s="1041">
        <v>0</v>
      </c>
      <c r="M374" s="1041"/>
      <c r="N374" s="1041" t="e">
        <f t="shared" si="1"/>
        <v>#REF!</v>
      </c>
    </row>
    <row r="375" spans="1:14" s="1039" customFormat="1" ht="11.25" hidden="1">
      <c r="A375" s="980"/>
      <c r="B375" s="1037" t="s">
        <v>1338</v>
      </c>
      <c r="C375" s="1038"/>
      <c r="D375" s="1038"/>
      <c r="E375" s="1038"/>
      <c r="F375" s="1038"/>
      <c r="G375" s="1038"/>
      <c r="H375" s="1041">
        <v>10919</v>
      </c>
      <c r="I375" s="1038"/>
      <c r="J375" s="1044">
        <v>0</v>
      </c>
      <c r="K375" s="1041"/>
      <c r="L375" s="1041">
        <v>0</v>
      </c>
      <c r="M375" s="1041"/>
      <c r="N375" s="1041">
        <f t="shared" si="1"/>
        <v>10919</v>
      </c>
    </row>
    <row r="376" spans="1:14" s="1039" customFormat="1" ht="11.25" hidden="1">
      <c r="A376" s="980"/>
      <c r="B376" s="1037" t="s">
        <v>1437</v>
      </c>
      <c r="C376" s="1038"/>
      <c r="D376" s="1038"/>
      <c r="E376" s="1038"/>
      <c r="F376" s="1038"/>
      <c r="G376" s="1038"/>
      <c r="H376" s="1041">
        <v>48021</v>
      </c>
      <c r="I376" s="1038"/>
      <c r="J376" s="1044">
        <v>0</v>
      </c>
      <c r="K376" s="1041"/>
      <c r="L376" s="1041">
        <v>0</v>
      </c>
      <c r="M376" s="1041"/>
      <c r="N376" s="1041">
        <f t="shared" si="1"/>
        <v>48021</v>
      </c>
    </row>
    <row r="377" spans="1:14" s="1039" customFormat="1" ht="11.25" hidden="1">
      <c r="A377" s="980"/>
      <c r="B377" s="1037" t="s">
        <v>1331</v>
      </c>
      <c r="C377" s="1038"/>
      <c r="D377" s="1038"/>
      <c r="E377" s="1038"/>
      <c r="F377" s="1038"/>
      <c r="G377" s="1038"/>
      <c r="H377" s="1041">
        <v>66813</v>
      </c>
      <c r="I377" s="1038"/>
      <c r="J377" s="1044">
        <v>0</v>
      </c>
      <c r="K377" s="1041"/>
      <c r="L377" s="1041">
        <v>0</v>
      </c>
      <c r="M377" s="1041"/>
      <c r="N377" s="1041">
        <f t="shared" si="1"/>
        <v>66813</v>
      </c>
    </row>
    <row r="378" spans="1:14" s="1039" customFormat="1" ht="6" hidden="1" customHeight="1">
      <c r="A378" s="980"/>
      <c r="B378" s="1037"/>
      <c r="C378" s="1038"/>
      <c r="D378" s="1038"/>
      <c r="E378" s="1038"/>
      <c r="F378" s="1038"/>
      <c r="G378" s="1038"/>
      <c r="H378" s="1041"/>
      <c r="I378" s="1038"/>
      <c r="J378" s="1044"/>
      <c r="K378" s="1041"/>
      <c r="L378" s="1041"/>
      <c r="M378" s="1041"/>
      <c r="N378" s="1041"/>
    </row>
    <row r="379" spans="1:14" s="1039" customFormat="1" ht="21.75" hidden="1" customHeight="1" thickBot="1">
      <c r="A379" s="980"/>
      <c r="B379" s="1037"/>
      <c r="C379" s="1038"/>
      <c r="D379" s="1038"/>
      <c r="E379" s="1038"/>
      <c r="F379" s="1038"/>
      <c r="G379" s="1038"/>
      <c r="H379" s="1042" t="e">
        <f>SUM(H370:H377)</f>
        <v>#REF!</v>
      </c>
      <c r="I379" s="1038"/>
      <c r="J379" s="1042">
        <f>SUM(J370:J373)</f>
        <v>19598</v>
      </c>
      <c r="K379" s="1038"/>
      <c r="L379" s="1042">
        <f>SUM(L370:L373)</f>
        <v>563068</v>
      </c>
      <c r="M379" s="1038"/>
      <c r="N379" s="1042" t="e">
        <f>SUM(N370:N378)</f>
        <v>#REF!</v>
      </c>
    </row>
    <row r="380" spans="1:14" s="1039" customFormat="1" ht="12" hidden="1" thickTop="1">
      <c r="A380" s="980"/>
      <c r="B380" s="1037"/>
      <c r="C380" s="1038"/>
      <c r="D380" s="1038"/>
      <c r="E380" s="1038"/>
      <c r="F380" s="1038"/>
      <c r="G380" s="1038"/>
      <c r="H380" s="1050"/>
      <c r="I380" s="1038"/>
      <c r="J380" s="1050"/>
      <c r="K380" s="1038"/>
      <c r="L380" s="1050"/>
      <c r="M380" s="1038"/>
      <c r="N380" s="1050"/>
    </row>
    <row r="381" spans="1:14" s="1039" customFormat="1" ht="11.25" hidden="1">
      <c r="A381" s="980"/>
      <c r="B381" s="1037"/>
      <c r="C381" s="1038"/>
      <c r="D381" s="1038"/>
      <c r="E381" s="1038"/>
      <c r="F381" s="1038"/>
      <c r="G381" s="1038"/>
      <c r="H381" s="1050"/>
      <c r="I381" s="1038"/>
      <c r="J381" s="3174" t="s">
        <v>1029</v>
      </c>
      <c r="K381" s="3174"/>
      <c r="L381" s="3174"/>
      <c r="M381" s="3174"/>
      <c r="N381" s="3174"/>
    </row>
    <row r="382" spans="1:14" s="1039" customFormat="1" ht="11.25" hidden="1">
      <c r="A382" s="980"/>
      <c r="B382" s="1037"/>
      <c r="C382" s="1038"/>
      <c r="D382" s="1038"/>
      <c r="E382" s="1038"/>
      <c r="F382" s="1038"/>
      <c r="G382" s="1038"/>
      <c r="H382" s="1050"/>
      <c r="I382" s="1038"/>
      <c r="J382" s="3175" t="s">
        <v>1039</v>
      </c>
      <c r="K382" s="1528"/>
      <c r="L382" s="3175" t="s">
        <v>1040</v>
      </c>
      <c r="M382" s="1526"/>
      <c r="N382" s="3171" t="s">
        <v>681</v>
      </c>
    </row>
    <row r="383" spans="1:14" s="1039" customFormat="1" ht="11.25" hidden="1">
      <c r="A383" s="980"/>
      <c r="B383" s="1037"/>
      <c r="C383" s="1038"/>
      <c r="D383" s="1038"/>
      <c r="E383" s="1038"/>
      <c r="F383" s="1038"/>
      <c r="G383" s="1038"/>
      <c r="H383" s="1050"/>
      <c r="I383" s="1038"/>
      <c r="J383" s="3176"/>
      <c r="K383" s="1528"/>
      <c r="L383" s="3176"/>
      <c r="M383" s="1526"/>
      <c r="N383" s="3172"/>
    </row>
    <row r="384" spans="1:14" s="1039" customFormat="1" ht="20.25" hidden="1" customHeight="1">
      <c r="A384" s="980"/>
      <c r="B384" s="1037"/>
      <c r="C384" s="1038"/>
      <c r="D384" s="1038"/>
      <c r="E384" s="1038"/>
      <c r="F384" s="1038"/>
      <c r="G384" s="1038"/>
      <c r="H384" s="1050"/>
      <c r="I384" s="1038"/>
      <c r="J384" s="3176"/>
      <c r="K384" s="1528"/>
      <c r="L384" s="3176"/>
      <c r="M384" s="1526"/>
      <c r="N384" s="3172"/>
    </row>
    <row r="385" spans="1:14" s="1039" customFormat="1" ht="14.25" hidden="1" customHeight="1">
      <c r="A385" s="980"/>
      <c r="B385" s="1037"/>
      <c r="C385" s="1038"/>
      <c r="D385" s="1038"/>
      <c r="E385" s="1038"/>
      <c r="F385" s="1038"/>
      <c r="G385" s="1038"/>
      <c r="H385" s="1050"/>
      <c r="I385" s="1038"/>
      <c r="J385" s="3176"/>
      <c r="K385" s="1528"/>
      <c r="L385" s="3176"/>
      <c r="M385" s="1040"/>
      <c r="N385" s="3172"/>
    </row>
    <row r="386" spans="1:14" s="1039" customFormat="1" ht="11.25" hidden="1">
      <c r="A386" s="980"/>
      <c r="B386" s="1048" t="s">
        <v>842</v>
      </c>
      <c r="C386" s="1038"/>
      <c r="D386" s="1038"/>
      <c r="E386" s="1038"/>
      <c r="F386" s="1038"/>
      <c r="G386" s="1038"/>
      <c r="H386" s="1050"/>
      <c r="I386" s="1038"/>
      <c r="J386" s="3173" t="s">
        <v>1044</v>
      </c>
      <c r="K386" s="3173"/>
      <c r="L386" s="3173"/>
      <c r="M386" s="3173"/>
      <c r="N386" s="3173"/>
    </row>
    <row r="387" spans="1:14" s="1039" customFormat="1" ht="11.25" hidden="1">
      <c r="A387" s="980"/>
      <c r="B387" s="1048"/>
      <c r="C387" s="1038"/>
      <c r="D387" s="1038"/>
      <c r="E387" s="1038"/>
      <c r="F387" s="1038"/>
      <c r="G387" s="1038"/>
      <c r="H387" s="1050"/>
      <c r="I387" s="1038"/>
      <c r="J387" s="1050"/>
      <c r="K387" s="1038"/>
      <c r="L387" s="1050"/>
      <c r="M387" s="1038"/>
      <c r="N387" s="1050"/>
    </row>
    <row r="388" spans="1:14" s="1039" customFormat="1" ht="11.25" hidden="1">
      <c r="A388" s="980"/>
      <c r="B388" s="1037" t="s">
        <v>1045</v>
      </c>
      <c r="C388" s="1038"/>
      <c r="D388" s="1038"/>
      <c r="E388" s="1038"/>
      <c r="F388" s="1038"/>
      <c r="G388" s="1038"/>
      <c r="H388" s="1050"/>
      <c r="I388" s="1038"/>
      <c r="J388" s="1044">
        <v>0</v>
      </c>
      <c r="K388" s="1038"/>
      <c r="L388" s="1044">
        <f>L158</f>
        <v>2753</v>
      </c>
      <c r="M388" s="1038"/>
      <c r="N388" s="1044">
        <f>+L388+J388</f>
        <v>2753</v>
      </c>
    </row>
    <row r="389" spans="1:14" s="1039" customFormat="1" ht="11.25" hidden="1">
      <c r="A389" s="980"/>
      <c r="B389" s="1037" t="s">
        <v>1046</v>
      </c>
      <c r="C389" s="1038"/>
      <c r="D389" s="1038"/>
      <c r="E389" s="1038"/>
      <c r="F389" s="1038"/>
      <c r="G389" s="1038"/>
      <c r="H389" s="1050"/>
      <c r="I389" s="1038"/>
      <c r="J389" s="1044">
        <v>0</v>
      </c>
      <c r="K389" s="1038"/>
      <c r="L389" s="1044">
        <f>L160</f>
        <v>48</v>
      </c>
      <c r="M389" s="1038"/>
      <c r="N389" s="1044">
        <f>+L389+J389</f>
        <v>48</v>
      </c>
    </row>
    <row r="390" spans="1:14" s="1039" customFormat="1" ht="11.25" hidden="1">
      <c r="A390" s="980"/>
      <c r="B390" s="1037" t="s">
        <v>691</v>
      </c>
      <c r="C390" s="1038"/>
      <c r="D390" s="1038"/>
      <c r="E390" s="1038"/>
      <c r="F390" s="1038"/>
      <c r="G390" s="1038"/>
      <c r="H390" s="1050"/>
      <c r="I390" s="1038"/>
      <c r="J390" s="1044">
        <v>0</v>
      </c>
      <c r="K390" s="1038"/>
      <c r="L390" s="1044">
        <f>L161</f>
        <v>2079</v>
      </c>
      <c r="M390" s="1038"/>
      <c r="N390" s="1044">
        <f>+L390+J390</f>
        <v>2079</v>
      </c>
    </row>
    <row r="391" spans="1:14" s="1039" customFormat="1" ht="11.25" hidden="1">
      <c r="A391" s="980"/>
      <c r="B391" s="1037" t="s">
        <v>1336</v>
      </c>
      <c r="C391" s="1038"/>
      <c r="D391" s="1038"/>
      <c r="E391" s="1038"/>
      <c r="F391" s="1038"/>
      <c r="G391" s="1038"/>
      <c r="H391" s="1050"/>
      <c r="I391" s="1038"/>
      <c r="J391" s="1044">
        <v>0</v>
      </c>
      <c r="K391" s="1038"/>
      <c r="L391" s="1044">
        <v>39299</v>
      </c>
      <c r="M391" s="1038"/>
      <c r="N391" s="1044">
        <f>+L391+J391</f>
        <v>39299</v>
      </c>
    </row>
    <row r="392" spans="1:14" s="1039" customFormat="1" ht="11.25" hidden="1">
      <c r="A392" s="980"/>
      <c r="B392" s="1037" t="s">
        <v>692</v>
      </c>
      <c r="C392" s="1038"/>
      <c r="D392" s="1038"/>
      <c r="E392" s="1038"/>
      <c r="F392" s="1038"/>
      <c r="G392" s="1038"/>
      <c r="H392" s="1050"/>
      <c r="I392" s="1038"/>
      <c r="J392" s="1044">
        <v>0</v>
      </c>
      <c r="K392" s="1038"/>
      <c r="L392" s="1044">
        <f>L163</f>
        <v>4260</v>
      </c>
      <c r="M392" s="1038"/>
      <c r="N392" s="1044">
        <f>+L392+J392</f>
        <v>4260</v>
      </c>
    </row>
    <row r="393" spans="1:14" s="1039" customFormat="1" ht="4.5" hidden="1" customHeight="1">
      <c r="A393" s="980"/>
      <c r="B393" s="1037"/>
      <c r="C393" s="1038"/>
      <c r="D393" s="1038"/>
      <c r="E393" s="1038"/>
      <c r="F393" s="1038"/>
      <c r="G393" s="1038"/>
      <c r="H393" s="1050"/>
      <c r="I393" s="1038"/>
      <c r="J393" s="1044"/>
      <c r="K393" s="1038"/>
      <c r="L393" s="1044"/>
      <c r="M393" s="1038"/>
      <c r="N393" s="1044"/>
    </row>
    <row r="394" spans="1:14" s="1039" customFormat="1" ht="21.75" hidden="1" customHeight="1" thickBot="1">
      <c r="A394" s="980"/>
      <c r="B394" s="1037"/>
      <c r="C394" s="1038"/>
      <c r="D394" s="1038"/>
      <c r="E394" s="1038"/>
      <c r="F394" s="1038"/>
      <c r="G394" s="1038"/>
      <c r="H394" s="1044"/>
      <c r="I394" s="1038"/>
      <c r="J394" s="1042">
        <f>SUM(J388:J391)</f>
        <v>0</v>
      </c>
      <c r="K394" s="1038"/>
      <c r="L394" s="1042">
        <f>SUM(L388:L392)</f>
        <v>48439</v>
      </c>
      <c r="M394" s="1038"/>
      <c r="N394" s="1042">
        <f>SUM(N388:N392)</f>
        <v>48439</v>
      </c>
    </row>
    <row r="395" spans="1:14" s="1008" customFormat="1" ht="13.5" hidden="1" thickTop="1">
      <c r="A395" s="1019"/>
      <c r="B395" s="993"/>
      <c r="C395" s="988"/>
      <c r="D395" s="988"/>
      <c r="E395" s="988"/>
      <c r="F395" s="988"/>
      <c r="G395" s="988"/>
      <c r="H395" s="1051"/>
      <c r="I395" s="988"/>
      <c r="J395" s="1051"/>
      <c r="K395" s="988"/>
      <c r="L395" s="1051"/>
      <c r="M395" s="988"/>
      <c r="N395" s="1051"/>
    </row>
    <row r="396" spans="1:14" s="1008" customFormat="1">
      <c r="A396" s="1019"/>
      <c r="B396" s="993"/>
      <c r="C396" s="988"/>
      <c r="D396" s="988"/>
      <c r="E396" s="988"/>
      <c r="F396" s="988"/>
      <c r="G396" s="988"/>
      <c r="H396" s="1051"/>
      <c r="I396" s="988"/>
      <c r="J396" s="1051"/>
      <c r="K396" s="988"/>
      <c r="L396" s="1051"/>
      <c r="M396" s="988"/>
      <c r="N396" s="1051"/>
    </row>
    <row r="397" spans="1:14" s="1008" customFormat="1">
      <c r="A397" s="1047" t="s">
        <v>1872</v>
      </c>
      <c r="B397" s="987" t="s">
        <v>1047</v>
      </c>
      <c r="C397" s="988"/>
      <c r="D397" s="988"/>
      <c r="E397" s="988"/>
      <c r="F397" s="988"/>
      <c r="G397" s="988"/>
      <c r="H397" s="1051"/>
      <c r="I397" s="988"/>
      <c r="J397" s="1051"/>
      <c r="K397" s="988"/>
      <c r="L397" s="1051"/>
      <c r="M397" s="988"/>
      <c r="N397" s="1051"/>
    </row>
    <row r="398" spans="1:14" s="1008" customFormat="1">
      <c r="A398" s="1019"/>
      <c r="B398" s="993"/>
      <c r="C398" s="988"/>
      <c r="D398" s="988"/>
      <c r="E398" s="988"/>
      <c r="F398" s="988"/>
      <c r="G398" s="988"/>
      <c r="H398" s="1051"/>
      <c r="I398" s="988"/>
      <c r="J398" s="1051"/>
      <c r="K398" s="988"/>
      <c r="L398" s="1051"/>
      <c r="M398" s="988"/>
      <c r="N398" s="1051"/>
    </row>
    <row r="399" spans="1:14" s="1008" customFormat="1">
      <c r="A399" s="1019"/>
      <c r="B399" s="3107" t="s">
        <v>1048</v>
      </c>
      <c r="C399" s="3107"/>
      <c r="D399" s="3107"/>
      <c r="E399" s="3107"/>
      <c r="F399" s="3107"/>
      <c r="G399" s="3107"/>
      <c r="H399" s="3107"/>
      <c r="I399" s="3107"/>
      <c r="J399" s="3107"/>
      <c r="K399" s="3107"/>
      <c r="L399" s="3107"/>
      <c r="M399" s="3107"/>
      <c r="N399" s="3107"/>
    </row>
    <row r="400" spans="1:14" s="1008" customFormat="1">
      <c r="A400" s="1019"/>
      <c r="B400" s="3107"/>
      <c r="C400" s="3107"/>
      <c r="D400" s="3107"/>
      <c r="E400" s="3107"/>
      <c r="F400" s="3107"/>
      <c r="G400" s="3107"/>
      <c r="H400" s="3107"/>
      <c r="I400" s="3107"/>
      <c r="J400" s="3107"/>
      <c r="K400" s="3107"/>
      <c r="L400" s="3107"/>
      <c r="M400" s="3107"/>
      <c r="N400" s="3107"/>
    </row>
    <row r="401" spans="1:14" s="1008" customFormat="1" ht="14.25" customHeight="1">
      <c r="A401" s="1019"/>
      <c r="B401" s="3113"/>
      <c r="C401" s="3113"/>
      <c r="D401" s="3113"/>
      <c r="E401" s="3113"/>
      <c r="F401" s="3113"/>
      <c r="G401" s="3113"/>
      <c r="H401" s="3113"/>
      <c r="I401" s="3113"/>
      <c r="J401" s="3113"/>
      <c r="K401" s="3113"/>
      <c r="L401" s="3113"/>
      <c r="M401" s="3113"/>
      <c r="N401" s="3113"/>
    </row>
    <row r="402" spans="1:14" s="1008" customFormat="1" ht="14.25" customHeight="1">
      <c r="A402" s="1019"/>
      <c r="B402" s="1020"/>
      <c r="C402" s="1020"/>
      <c r="D402" s="1020"/>
      <c r="E402" s="1020"/>
      <c r="F402" s="1020"/>
      <c r="G402" s="1020"/>
      <c r="H402" s="1020"/>
      <c r="I402" s="1020"/>
      <c r="J402" s="1020"/>
      <c r="K402" s="1020"/>
      <c r="L402" s="1020"/>
      <c r="M402" s="1020"/>
      <c r="N402" s="1020"/>
    </row>
    <row r="403" spans="1:14" s="1008" customFormat="1">
      <c r="A403" s="1019"/>
      <c r="B403" s="3107" t="s">
        <v>1049</v>
      </c>
      <c r="C403" s="3107"/>
      <c r="D403" s="3107"/>
      <c r="E403" s="3107"/>
      <c r="F403" s="3107"/>
      <c r="G403" s="3107"/>
      <c r="H403" s="3107"/>
      <c r="I403" s="3107"/>
      <c r="J403" s="3107"/>
      <c r="K403" s="3107"/>
      <c r="L403" s="3107"/>
      <c r="M403" s="3107"/>
      <c r="N403" s="3107"/>
    </row>
    <row r="404" spans="1:14" s="1008" customFormat="1">
      <c r="A404" s="1019"/>
      <c r="B404" s="3107"/>
      <c r="C404" s="3107"/>
      <c r="D404" s="3107"/>
      <c r="E404" s="3107"/>
      <c r="F404" s="3107"/>
      <c r="G404" s="3107"/>
      <c r="H404" s="3107"/>
      <c r="I404" s="3107"/>
      <c r="J404" s="3107"/>
      <c r="K404" s="3107"/>
      <c r="L404" s="3107"/>
      <c r="M404" s="3107"/>
      <c r="N404" s="3107"/>
    </row>
    <row r="405" spans="1:14" s="1008" customFormat="1" ht="14.25" customHeight="1">
      <c r="A405" s="1019"/>
      <c r="B405" s="3113"/>
      <c r="C405" s="3113"/>
      <c r="D405" s="3113"/>
      <c r="E405" s="3113"/>
      <c r="F405" s="3113"/>
      <c r="G405" s="3113"/>
      <c r="H405" s="3113"/>
      <c r="I405" s="3113"/>
      <c r="J405" s="3113"/>
      <c r="K405" s="3113"/>
      <c r="L405" s="3113"/>
      <c r="M405" s="3113"/>
      <c r="N405" s="3113"/>
    </row>
    <row r="406" spans="1:14" s="1008" customFormat="1">
      <c r="A406" s="1019"/>
      <c r="B406" s="3107" t="s">
        <v>1050</v>
      </c>
      <c r="C406" s="3107"/>
      <c r="D406" s="3107"/>
      <c r="E406" s="3107"/>
      <c r="F406" s="3107"/>
      <c r="G406" s="3107"/>
      <c r="H406" s="3107"/>
      <c r="I406" s="3107"/>
      <c r="J406" s="3107"/>
      <c r="K406" s="3107"/>
      <c r="L406" s="3107"/>
      <c r="M406" s="3107"/>
      <c r="N406" s="3107"/>
    </row>
    <row r="407" spans="1:14" s="1008" customFormat="1">
      <c r="A407" s="1019"/>
      <c r="B407" s="3107"/>
      <c r="C407" s="3107"/>
      <c r="D407" s="3107"/>
      <c r="E407" s="3107"/>
      <c r="F407" s="3107"/>
      <c r="G407" s="3107"/>
      <c r="H407" s="3107"/>
      <c r="I407" s="3107"/>
      <c r="J407" s="3107"/>
      <c r="K407" s="3107"/>
      <c r="L407" s="3107"/>
      <c r="M407" s="3107"/>
      <c r="N407" s="3107"/>
    </row>
    <row r="408" spans="1:14" s="1008" customFormat="1">
      <c r="A408" s="1019"/>
      <c r="B408" s="3107"/>
      <c r="C408" s="3107"/>
      <c r="D408" s="3107"/>
      <c r="E408" s="3107"/>
      <c r="F408" s="3107"/>
      <c r="G408" s="3107"/>
      <c r="H408" s="3107"/>
      <c r="I408" s="3107"/>
      <c r="J408" s="3107"/>
      <c r="K408" s="3107"/>
      <c r="L408" s="3107"/>
      <c r="M408" s="3107"/>
      <c r="N408" s="3107"/>
    </row>
    <row r="409" spans="1:14" s="1008" customFormat="1" ht="14.25" customHeight="1">
      <c r="A409" s="1019"/>
      <c r="B409" s="3107"/>
      <c r="C409" s="3107"/>
      <c r="D409" s="3107"/>
      <c r="E409" s="3107"/>
      <c r="F409" s="3107"/>
      <c r="G409" s="3107"/>
      <c r="H409" s="3107"/>
      <c r="I409" s="3107"/>
      <c r="J409" s="3107"/>
      <c r="K409" s="3107"/>
      <c r="L409" s="3107"/>
      <c r="M409" s="3107"/>
      <c r="N409" s="3107"/>
    </row>
    <row r="410" spans="1:14" s="1008" customFormat="1">
      <c r="A410" s="1019"/>
      <c r="B410" s="3107" t="s">
        <v>1051</v>
      </c>
      <c r="C410" s="3107"/>
      <c r="D410" s="3107"/>
      <c r="E410" s="3107"/>
      <c r="F410" s="3107"/>
      <c r="G410" s="3107"/>
      <c r="H410" s="3107"/>
      <c r="I410" s="3107"/>
      <c r="J410" s="3107"/>
      <c r="K410" s="3107"/>
      <c r="L410" s="3107"/>
      <c r="M410" s="3107"/>
      <c r="N410" s="3107"/>
    </row>
    <row r="411" spans="1:14" s="1008" customFormat="1">
      <c r="A411" s="1019"/>
      <c r="B411" s="3107"/>
      <c r="C411" s="3107"/>
      <c r="D411" s="3107"/>
      <c r="E411" s="3107"/>
      <c r="F411" s="3107"/>
      <c r="G411" s="3107"/>
      <c r="H411" s="3107"/>
      <c r="I411" s="3107"/>
      <c r="J411" s="3107"/>
      <c r="K411" s="3107"/>
      <c r="L411" s="3107"/>
      <c r="M411" s="3107"/>
      <c r="N411" s="3107"/>
    </row>
    <row r="412" spans="1:14" s="1008" customFormat="1">
      <c r="A412" s="1019"/>
      <c r="B412" s="3107"/>
      <c r="C412" s="3107"/>
      <c r="D412" s="3107"/>
      <c r="E412" s="3107"/>
      <c r="F412" s="3107"/>
      <c r="G412" s="3107"/>
      <c r="H412" s="3107"/>
      <c r="I412" s="3107"/>
      <c r="J412" s="3107"/>
      <c r="K412" s="3107"/>
      <c r="L412" s="3107"/>
      <c r="M412" s="3107"/>
      <c r="N412" s="3107"/>
    </row>
    <row r="413" spans="1:14" s="1008" customFormat="1" ht="14.25" customHeight="1">
      <c r="A413" s="1019"/>
      <c r="B413" s="3107"/>
      <c r="C413" s="3107"/>
      <c r="D413" s="3107"/>
      <c r="E413" s="3107"/>
      <c r="F413" s="3107"/>
      <c r="G413" s="3107"/>
      <c r="H413" s="3107"/>
      <c r="I413" s="3107"/>
      <c r="J413" s="3107"/>
      <c r="K413" s="3107"/>
      <c r="L413" s="3107"/>
      <c r="M413" s="3107"/>
      <c r="N413" s="3107"/>
    </row>
    <row r="414" spans="1:14" s="1008" customFormat="1">
      <c r="A414" s="1019"/>
      <c r="B414" s="1052" t="s">
        <v>1052</v>
      </c>
      <c r="C414" s="3181" t="s">
        <v>1053</v>
      </c>
      <c r="D414" s="3182"/>
      <c r="E414" s="3182"/>
      <c r="F414" s="3182"/>
      <c r="G414" s="3182"/>
      <c r="H414" s="3182"/>
      <c r="I414" s="3182"/>
      <c r="J414" s="3182"/>
      <c r="K414" s="3182"/>
      <c r="L414" s="3182"/>
      <c r="M414" s="3182"/>
      <c r="N414" s="3182"/>
    </row>
    <row r="415" spans="1:14" s="1008" customFormat="1">
      <c r="A415" s="1019"/>
      <c r="B415" s="1053"/>
      <c r="C415" s="1053"/>
      <c r="D415" s="1053"/>
      <c r="E415" s="1053"/>
      <c r="F415" s="1053"/>
      <c r="G415" s="1053"/>
      <c r="H415" s="1051"/>
      <c r="I415" s="988"/>
      <c r="J415" s="1051"/>
      <c r="K415" s="988"/>
      <c r="L415" s="1051"/>
      <c r="M415" s="988"/>
      <c r="N415" s="1051"/>
    </row>
    <row r="416" spans="1:14" s="1008" customFormat="1" ht="14.25" customHeight="1">
      <c r="A416" s="1019"/>
      <c r="B416" s="1052" t="s">
        <v>1054</v>
      </c>
      <c r="C416" s="3183" t="s">
        <v>1055</v>
      </c>
      <c r="D416" s="3184"/>
      <c r="E416" s="3184"/>
      <c r="F416" s="3184"/>
      <c r="G416" s="3184"/>
      <c r="H416" s="3184"/>
      <c r="I416" s="3184"/>
      <c r="J416" s="3184"/>
      <c r="K416" s="3184"/>
      <c r="L416" s="3184"/>
      <c r="M416" s="3184"/>
      <c r="N416" s="3184"/>
    </row>
    <row r="417" spans="1:19" s="1008" customFormat="1">
      <c r="A417" s="1019"/>
      <c r="B417" s="1054"/>
      <c r="C417" s="3184"/>
      <c r="D417" s="3184"/>
      <c r="E417" s="3184"/>
      <c r="F417" s="3184"/>
      <c r="G417" s="3184"/>
      <c r="H417" s="3184"/>
      <c r="I417" s="3184"/>
      <c r="J417" s="3184"/>
      <c r="K417" s="3184"/>
      <c r="L417" s="3184"/>
      <c r="M417" s="3184"/>
      <c r="N417" s="3184"/>
    </row>
    <row r="418" spans="1:19" s="1008" customFormat="1" ht="8.25" customHeight="1">
      <c r="A418" s="1019"/>
      <c r="B418" s="1053"/>
      <c r="C418" s="1053"/>
      <c r="D418" s="1053"/>
      <c r="E418" s="1053"/>
      <c r="F418" s="1053"/>
      <c r="G418" s="1053"/>
      <c r="H418" s="1051"/>
      <c r="I418" s="988"/>
      <c r="J418" s="1051"/>
      <c r="K418" s="988"/>
      <c r="L418" s="1051"/>
      <c r="M418" s="988"/>
      <c r="N418" s="1051"/>
    </row>
    <row r="419" spans="1:19" s="1008" customFormat="1">
      <c r="A419" s="1019"/>
      <c r="B419" s="1052" t="s">
        <v>1056</v>
      </c>
      <c r="C419" s="3185" t="s">
        <v>1057</v>
      </c>
      <c r="D419" s="3186"/>
      <c r="E419" s="3186"/>
      <c r="F419" s="3186"/>
      <c r="G419" s="3186"/>
      <c r="H419" s="3186"/>
      <c r="I419" s="3186"/>
      <c r="J419" s="3186"/>
      <c r="K419" s="3186"/>
      <c r="L419" s="3186"/>
      <c r="M419" s="3186"/>
      <c r="N419" s="3186"/>
    </row>
    <row r="420" spans="1:19" s="1008" customFormat="1" ht="14.25" customHeight="1">
      <c r="A420" s="1019"/>
      <c r="B420" s="993"/>
      <c r="C420" s="988"/>
      <c r="D420" s="988"/>
      <c r="E420" s="988"/>
      <c r="F420" s="988"/>
      <c r="G420" s="988"/>
      <c r="H420" s="1051"/>
      <c r="I420" s="988"/>
      <c r="J420" s="1051"/>
      <c r="K420" s="988"/>
      <c r="L420" s="1051"/>
      <c r="M420" s="988"/>
      <c r="N420" s="1051"/>
    </row>
    <row r="421" spans="1:19" s="1008" customFormat="1">
      <c r="A421" s="1019"/>
      <c r="B421" s="3179" t="s">
        <v>1058</v>
      </c>
      <c r="C421" s="3179"/>
      <c r="D421" s="3179"/>
      <c r="E421" s="3179"/>
      <c r="F421" s="3179"/>
      <c r="G421" s="3179"/>
      <c r="H421" s="3179"/>
      <c r="I421" s="3179"/>
      <c r="J421" s="3179"/>
      <c r="K421" s="3179"/>
      <c r="L421" s="3179"/>
      <c r="M421" s="3179"/>
      <c r="N421" s="3179"/>
    </row>
    <row r="422" spans="1:19" s="1008" customFormat="1">
      <c r="B422" s="3179"/>
      <c r="C422" s="3179"/>
      <c r="D422" s="3179"/>
      <c r="E422" s="3179"/>
      <c r="F422" s="3179"/>
      <c r="G422" s="3179"/>
      <c r="H422" s="3179"/>
      <c r="I422" s="3179"/>
      <c r="J422" s="3179"/>
      <c r="K422" s="3179"/>
      <c r="L422" s="3179"/>
      <c r="M422" s="3179"/>
      <c r="N422" s="3179"/>
    </row>
    <row r="423" spans="1:19" s="1008" customFormat="1" ht="13.5" customHeight="1">
      <c r="B423" s="3113"/>
      <c r="C423" s="3113"/>
      <c r="D423" s="3113"/>
      <c r="E423" s="3113"/>
      <c r="F423" s="3113"/>
      <c r="G423" s="3113"/>
      <c r="H423" s="3113"/>
      <c r="I423" s="3113"/>
      <c r="J423" s="3113"/>
      <c r="K423" s="3113"/>
      <c r="L423" s="3113"/>
      <c r="M423" s="3113"/>
      <c r="N423" s="3113"/>
    </row>
    <row r="424" spans="1:19" s="1008" customFormat="1">
      <c r="H424" s="3180" t="s">
        <v>1943</v>
      </c>
      <c r="I424" s="3180"/>
      <c r="J424" s="3180"/>
      <c r="K424" s="3180"/>
      <c r="L424" s="3180"/>
      <c r="M424" s="3180"/>
      <c r="N424" s="3180"/>
    </row>
    <row r="425" spans="1:19" s="1008" customFormat="1">
      <c r="H425" s="1055" t="s">
        <v>1059</v>
      </c>
      <c r="I425" s="1056"/>
      <c r="J425" s="1055" t="s">
        <v>1060</v>
      </c>
      <c r="K425" s="988"/>
      <c r="L425" s="1055" t="s">
        <v>1061</v>
      </c>
      <c r="N425" s="1510" t="s">
        <v>681</v>
      </c>
    </row>
    <row r="426" spans="1:19" s="1008" customFormat="1">
      <c r="H426" s="3114" t="s">
        <v>1062</v>
      </c>
      <c r="I426" s="3114"/>
      <c r="J426" s="3114"/>
      <c r="K426" s="3114"/>
      <c r="L426" s="3114"/>
      <c r="M426" s="3114"/>
      <c r="N426" s="3114"/>
    </row>
    <row r="427" spans="1:19" s="1008" customFormat="1" ht="15.75" customHeight="1">
      <c r="H427" s="1529"/>
      <c r="I427" s="1529"/>
      <c r="J427" s="1529"/>
      <c r="K427" s="1529"/>
      <c r="L427" s="1529"/>
      <c r="M427" s="1529"/>
      <c r="N427" s="1529"/>
    </row>
    <row r="428" spans="1:19" s="1008" customFormat="1">
      <c r="B428" s="1057" t="s">
        <v>682</v>
      </c>
      <c r="H428" s="1529"/>
      <c r="I428" s="1529"/>
      <c r="J428" s="1529"/>
      <c r="K428" s="1529"/>
      <c r="L428" s="1529"/>
      <c r="M428" s="1529"/>
      <c r="N428" s="1529"/>
      <c r="P428" s="1008" t="s">
        <v>1524</v>
      </c>
      <c r="R428" s="1008">
        <v>6.1</v>
      </c>
      <c r="S428" s="1058">
        <f>'1-4.1'!D569</f>
        <v>0</v>
      </c>
    </row>
    <row r="429" spans="1:19" s="1008" customFormat="1" ht="10.5" customHeight="1">
      <c r="B429" s="1057"/>
      <c r="H429" s="1051"/>
      <c r="I429" s="988"/>
      <c r="J429" s="1051"/>
      <c r="K429" s="988"/>
      <c r="L429" s="1051"/>
      <c r="P429" s="1008" t="s">
        <v>845</v>
      </c>
      <c r="R429" s="1008">
        <v>6.1999999999999993</v>
      </c>
      <c r="S429" s="1058">
        <f>'1-4.1'!D570</f>
        <v>0</v>
      </c>
    </row>
    <row r="430" spans="1:19" s="1008" customFormat="1">
      <c r="B430" s="1059" t="s">
        <v>1063</v>
      </c>
      <c r="H430" s="1060"/>
      <c r="I430" s="1060"/>
      <c r="J430" s="1060"/>
      <c r="K430" s="1060"/>
      <c r="L430" s="1060"/>
      <c r="M430" s="1060"/>
      <c r="N430" s="1060"/>
      <c r="P430" s="1008" t="s">
        <v>846</v>
      </c>
      <c r="R430" s="1008">
        <v>6.2999999999999989</v>
      </c>
      <c r="S430" s="1058" t="e">
        <f>'1-4.1'!#REF!</f>
        <v>#REF!</v>
      </c>
    </row>
    <row r="431" spans="1:19" s="1008" customFormat="1">
      <c r="B431" s="1061" t="s">
        <v>1064</v>
      </c>
      <c r="H431" s="869">
        <f>'1-4.1'!D970-'1-4.1'!D570</f>
        <v>0</v>
      </c>
      <c r="I431" s="1062"/>
      <c r="J431" s="869">
        <f>'5.1'!K32</f>
        <v>34858.495000000003</v>
      </c>
      <c r="K431" s="1063"/>
      <c r="L431" s="869">
        <v>0</v>
      </c>
      <c r="M431" s="1064"/>
      <c r="N431" s="1051">
        <f>SUM(H431:L431)</f>
        <v>34858.495000000003</v>
      </c>
      <c r="P431" s="1008" t="s">
        <v>847</v>
      </c>
      <c r="R431" s="1008">
        <v>6.3999999999999986</v>
      </c>
      <c r="S431" s="1058">
        <f>'1-4.1'!D968</f>
        <v>0</v>
      </c>
    </row>
    <row r="432" spans="1:19" s="1008" customFormat="1" ht="4.5" customHeight="1">
      <c r="B432" s="1061"/>
      <c r="H432" s="869"/>
      <c r="I432" s="1062"/>
      <c r="J432" s="869"/>
      <c r="K432" s="1063"/>
      <c r="L432" s="869"/>
      <c r="M432" s="1064"/>
      <c r="N432" s="869"/>
      <c r="S432" s="1058"/>
    </row>
    <row r="433" spans="1:19" s="1008" customFormat="1" ht="5.25" customHeight="1">
      <c r="B433" s="1059"/>
      <c r="H433" s="869"/>
      <c r="I433" s="988"/>
      <c r="J433" s="869"/>
      <c r="K433" s="1062"/>
      <c r="L433" s="869"/>
      <c r="M433" s="1064"/>
      <c r="N433" s="869"/>
      <c r="P433" s="1008" t="s">
        <v>848</v>
      </c>
      <c r="S433" s="1058"/>
    </row>
    <row r="434" spans="1:19" s="1008" customFormat="1" ht="21" customHeight="1" thickBot="1">
      <c r="H434" s="1065">
        <f>SUM(H431:H432)</f>
        <v>0</v>
      </c>
      <c r="I434" s="1066"/>
      <c r="J434" s="1065">
        <f>SUM(J431:J432)</f>
        <v>34858.495000000003</v>
      </c>
      <c r="K434" s="1066"/>
      <c r="L434" s="1065">
        <f>SUM(L431:L432)</f>
        <v>0</v>
      </c>
      <c r="M434" s="1067"/>
      <c r="N434" s="1065">
        <f>SUM(N431:N432)</f>
        <v>34858.495000000003</v>
      </c>
      <c r="S434" s="1058"/>
    </row>
    <row r="435" spans="1:19" s="1008" customFormat="1" ht="13.5" thickTop="1">
      <c r="S435" s="1058"/>
    </row>
    <row r="436" spans="1:19" s="1008" customFormat="1">
      <c r="H436" s="3180" t="s">
        <v>1536</v>
      </c>
      <c r="I436" s="3180"/>
      <c r="J436" s="3180"/>
      <c r="K436" s="3180"/>
      <c r="L436" s="3180"/>
      <c r="M436" s="3180"/>
      <c r="N436" s="3180"/>
      <c r="P436" s="1008" t="s">
        <v>845</v>
      </c>
      <c r="R436" s="1008">
        <v>6.4999999999999982</v>
      </c>
      <c r="S436" s="1058">
        <v>811</v>
      </c>
    </row>
    <row r="437" spans="1:19" s="1008" customFormat="1">
      <c r="H437" s="1055" t="s">
        <v>1059</v>
      </c>
      <c r="I437" s="1056"/>
      <c r="J437" s="1055" t="s">
        <v>1060</v>
      </c>
      <c r="K437" s="988"/>
      <c r="L437" s="1055" t="s">
        <v>1061</v>
      </c>
      <c r="N437" s="1510" t="s">
        <v>681</v>
      </c>
      <c r="S437" s="1058"/>
    </row>
    <row r="438" spans="1:19" s="1008" customFormat="1">
      <c r="H438" s="3114" t="s">
        <v>1062</v>
      </c>
      <c r="I438" s="3114"/>
      <c r="J438" s="3114"/>
      <c r="K438" s="3114"/>
      <c r="L438" s="3114"/>
      <c r="M438" s="3114"/>
      <c r="N438" s="3114"/>
      <c r="S438" s="1058"/>
    </row>
    <row r="439" spans="1:19" s="1008" customFormat="1">
      <c r="S439" s="1068"/>
    </row>
    <row r="440" spans="1:19" s="1008" customFormat="1">
      <c r="B440" s="1059" t="s">
        <v>1063</v>
      </c>
      <c r="P440" s="1008" t="s">
        <v>1034</v>
      </c>
      <c r="S440" s="1068"/>
    </row>
    <row r="441" spans="1:19" s="1008" customFormat="1">
      <c r="B441" s="1061" t="s">
        <v>1064</v>
      </c>
      <c r="H441" s="869">
        <v>513625</v>
      </c>
      <c r="I441" s="1062"/>
      <c r="J441" s="869">
        <v>42927</v>
      </c>
      <c r="K441" s="1060"/>
      <c r="L441" s="869">
        <v>0</v>
      </c>
      <c r="M441" s="1064"/>
      <c r="N441" s="869">
        <f>SUM(H441:L441)</f>
        <v>556552</v>
      </c>
      <c r="S441" s="1068"/>
    </row>
    <row r="442" spans="1:19" s="1008" customFormat="1" ht="5.25" customHeight="1">
      <c r="B442" s="1061"/>
      <c r="H442" s="869"/>
      <c r="I442" s="1062"/>
      <c r="J442" s="869"/>
      <c r="K442" s="1060"/>
      <c r="L442" s="869"/>
      <c r="M442" s="1064"/>
      <c r="N442" s="869"/>
      <c r="P442" s="1008" t="s">
        <v>1466</v>
      </c>
      <c r="R442" s="1008" t="s">
        <v>1685</v>
      </c>
      <c r="S442" s="1068">
        <v>0</v>
      </c>
    </row>
    <row r="443" spans="1:19" s="1008" customFormat="1">
      <c r="B443" s="1059" t="s">
        <v>1944</v>
      </c>
      <c r="H443" s="869">
        <v>0</v>
      </c>
      <c r="I443" s="988"/>
      <c r="J443" s="869">
        <v>811</v>
      </c>
      <c r="K443" s="1062"/>
      <c r="L443" s="869">
        <v>0</v>
      </c>
      <c r="M443" s="988"/>
      <c r="N443" s="869">
        <f>SUM(H443:L443)</f>
        <v>811</v>
      </c>
      <c r="P443" s="1008" t="s">
        <v>1443</v>
      </c>
      <c r="R443" s="1008" t="s">
        <v>1686</v>
      </c>
      <c r="S443" s="1068">
        <v>118295</v>
      </c>
    </row>
    <row r="444" spans="1:19" s="1008" customFormat="1" ht="4.5" customHeight="1">
      <c r="B444" s="1059"/>
      <c r="H444" s="869"/>
      <c r="I444" s="988"/>
      <c r="J444" s="869"/>
      <c r="K444" s="1062"/>
      <c r="L444" s="869"/>
      <c r="M444" s="988"/>
      <c r="N444" s="869"/>
      <c r="P444" s="1008" t="s">
        <v>1858</v>
      </c>
      <c r="R444" s="1008" t="s">
        <v>1687</v>
      </c>
      <c r="S444" s="1068">
        <v>0</v>
      </c>
    </row>
    <row r="445" spans="1:19" s="1008" customFormat="1" ht="21" customHeight="1" thickBot="1">
      <c r="H445" s="1069">
        <f>SUM(H441:H443)</f>
        <v>513625</v>
      </c>
      <c r="I445" s="1062"/>
      <c r="J445" s="1069">
        <f>SUM(J441:J443)</f>
        <v>43738</v>
      </c>
      <c r="K445" s="1062"/>
      <c r="L445" s="1069">
        <f>SUM(L441:L443)</f>
        <v>0</v>
      </c>
      <c r="M445" s="1064"/>
      <c r="N445" s="1069">
        <f>SUM(N441:N443)</f>
        <v>557363</v>
      </c>
      <c r="S445" s="1068">
        <v>118295</v>
      </c>
    </row>
    <row r="446" spans="1:19" s="1008" customFormat="1" ht="13.5" thickTop="1">
      <c r="S446" s="1068">
        <v>675660</v>
      </c>
    </row>
    <row r="447" spans="1:19" s="1008" customFormat="1" hidden="1">
      <c r="A447" s="880" t="s">
        <v>1878</v>
      </c>
      <c r="B447" s="1070" t="s">
        <v>1065</v>
      </c>
    </row>
    <row r="448" spans="1:19" s="1008" customFormat="1" ht="9" hidden="1" customHeight="1"/>
    <row r="449" spans="1:14" s="1008" customFormat="1" ht="12.75" hidden="1" customHeight="1">
      <c r="B449" s="3111" t="s">
        <v>1487</v>
      </c>
      <c r="C449" s="3111"/>
      <c r="D449" s="3111"/>
      <c r="E449" s="3111"/>
      <c r="F449" s="3111"/>
      <c r="G449" s="3111"/>
      <c r="H449" s="3111"/>
      <c r="I449" s="3111"/>
      <c r="J449" s="3111"/>
      <c r="K449" s="3111"/>
      <c r="L449" s="3111"/>
      <c r="M449" s="3113"/>
      <c r="N449" s="3113"/>
    </row>
    <row r="450" spans="1:14" s="1008" customFormat="1" ht="12.75" hidden="1" customHeight="1">
      <c r="B450" s="3111"/>
      <c r="C450" s="3111"/>
      <c r="D450" s="3111"/>
      <c r="E450" s="3111"/>
      <c r="F450" s="3111"/>
      <c r="G450" s="3111"/>
      <c r="H450" s="3111"/>
      <c r="I450" s="3111"/>
      <c r="J450" s="3111"/>
      <c r="K450" s="3111"/>
      <c r="L450" s="3111"/>
      <c r="M450" s="3113"/>
      <c r="N450" s="3113"/>
    </row>
    <row r="451" spans="1:14" s="1008" customFormat="1" ht="12.75" hidden="1" customHeight="1">
      <c r="B451" s="3111"/>
      <c r="C451" s="3111"/>
      <c r="D451" s="3111"/>
      <c r="E451" s="3111"/>
      <c r="F451" s="3111"/>
      <c r="G451" s="3111"/>
      <c r="H451" s="3111"/>
      <c r="I451" s="3111"/>
      <c r="J451" s="3111"/>
      <c r="K451" s="3111"/>
      <c r="L451" s="3111"/>
      <c r="M451" s="3113"/>
      <c r="N451" s="3113"/>
    </row>
    <row r="452" spans="1:14" s="1008" customFormat="1" ht="9" hidden="1" customHeight="1">
      <c r="B452" s="3107"/>
      <c r="C452" s="3107"/>
      <c r="D452" s="3107"/>
      <c r="E452" s="3107"/>
      <c r="F452" s="3107"/>
      <c r="G452" s="3107"/>
      <c r="H452" s="3107"/>
      <c r="I452" s="3107"/>
      <c r="J452" s="3107"/>
      <c r="K452" s="3107"/>
      <c r="L452" s="3107"/>
    </row>
    <row r="453" spans="1:14" s="1008" customFormat="1" ht="12.75" hidden="1" customHeight="1">
      <c r="B453" s="3111" t="s">
        <v>1488</v>
      </c>
      <c r="C453" s="3111"/>
      <c r="D453" s="3111"/>
      <c r="E453" s="3111"/>
      <c r="F453" s="3111"/>
      <c r="G453" s="3111"/>
      <c r="H453" s="3111"/>
      <c r="I453" s="3111"/>
      <c r="J453" s="3111"/>
      <c r="K453" s="3111"/>
      <c r="L453" s="3111"/>
      <c r="M453" s="3113"/>
      <c r="N453" s="3113"/>
    </row>
    <row r="454" spans="1:14" s="1008" customFormat="1" ht="12.75" hidden="1" customHeight="1">
      <c r="B454" s="3111"/>
      <c r="C454" s="3111"/>
      <c r="D454" s="3111"/>
      <c r="E454" s="3111"/>
      <c r="F454" s="3111"/>
      <c r="G454" s="3111"/>
      <c r="H454" s="3111"/>
      <c r="I454" s="3111"/>
      <c r="J454" s="3111"/>
      <c r="K454" s="3111"/>
      <c r="L454" s="3111"/>
      <c r="M454" s="3113"/>
      <c r="N454" s="3113"/>
    </row>
    <row r="455" spans="1:14" s="1008" customFormat="1" ht="12.75" hidden="1" customHeight="1">
      <c r="B455" s="3111"/>
      <c r="C455" s="3111"/>
      <c r="D455" s="3111"/>
      <c r="E455" s="3111"/>
      <c r="F455" s="3111"/>
      <c r="G455" s="3111"/>
      <c r="H455" s="3111"/>
      <c r="I455" s="3111"/>
      <c r="J455" s="3111"/>
      <c r="K455" s="3111"/>
      <c r="L455" s="3111"/>
      <c r="M455" s="3113"/>
      <c r="N455" s="3113"/>
    </row>
    <row r="456" spans="1:14" s="1008" customFormat="1" ht="12.75" hidden="1" customHeight="1">
      <c r="B456" s="3111"/>
      <c r="C456" s="3111"/>
      <c r="D456" s="3111"/>
      <c r="E456" s="3111"/>
      <c r="F456" s="3111"/>
      <c r="G456" s="3111"/>
      <c r="H456" s="3111"/>
      <c r="I456" s="3111"/>
      <c r="J456" s="3111"/>
      <c r="K456" s="3111"/>
      <c r="L456" s="3111"/>
      <c r="M456" s="3113"/>
      <c r="N456" s="3113"/>
    </row>
    <row r="457" spans="1:14" s="1060" customFormat="1" ht="9" hidden="1" customHeight="1">
      <c r="B457" s="1527"/>
      <c r="C457" s="1527"/>
      <c r="D457" s="1527"/>
      <c r="E457" s="1527"/>
      <c r="F457" s="1527"/>
      <c r="G457" s="1527"/>
      <c r="H457" s="1527"/>
      <c r="I457" s="1527"/>
      <c r="J457" s="1527"/>
      <c r="K457" s="1527"/>
      <c r="L457" s="1527"/>
    </row>
    <row r="458" spans="1:14" s="1060" customFormat="1" hidden="1">
      <c r="B458" s="3107" t="s">
        <v>1066</v>
      </c>
      <c r="C458" s="3107"/>
      <c r="D458" s="3107"/>
      <c r="E458" s="3107"/>
      <c r="F458" s="3107"/>
      <c r="G458" s="3107"/>
      <c r="H458" s="3107"/>
      <c r="I458" s="3107"/>
      <c r="J458" s="3107"/>
      <c r="K458" s="3107"/>
      <c r="L458" s="3107"/>
      <c r="M458" s="3113"/>
      <c r="N458" s="3113"/>
    </row>
    <row r="459" spans="1:14" s="1060" customFormat="1" hidden="1">
      <c r="B459" s="3107"/>
      <c r="C459" s="3107"/>
      <c r="D459" s="3107"/>
      <c r="E459" s="3107"/>
      <c r="F459" s="3107"/>
      <c r="G459" s="3107"/>
      <c r="H459" s="3107"/>
      <c r="I459" s="3107"/>
      <c r="J459" s="3107"/>
      <c r="K459" s="3107"/>
      <c r="L459" s="3107"/>
      <c r="M459" s="3113"/>
      <c r="N459" s="3113"/>
    </row>
    <row r="460" spans="1:14" s="1060" customFormat="1" hidden="1">
      <c r="B460" s="3107"/>
      <c r="C460" s="3107"/>
      <c r="D460" s="3107"/>
      <c r="E460" s="3107"/>
      <c r="F460" s="3107"/>
      <c r="G460" s="3107"/>
      <c r="H460" s="3107"/>
      <c r="I460" s="3107"/>
      <c r="J460" s="3107"/>
      <c r="K460" s="3107"/>
      <c r="L460" s="3107"/>
      <c r="M460" s="3113"/>
      <c r="N460" s="3113"/>
    </row>
    <row r="461" spans="1:14" s="1060" customFormat="1" hidden="1">
      <c r="B461" s="3107"/>
      <c r="C461" s="3107"/>
      <c r="D461" s="3107"/>
      <c r="E461" s="3107"/>
      <c r="F461" s="3107"/>
      <c r="G461" s="3107"/>
      <c r="H461" s="3107"/>
      <c r="I461" s="3107"/>
      <c r="J461" s="3107"/>
      <c r="K461" s="3107"/>
      <c r="L461" s="3107"/>
      <c r="M461" s="3113"/>
      <c r="N461" s="3113"/>
    </row>
    <row r="462" spans="1:14" s="1060" customFormat="1">
      <c r="L462" s="871">
        <v>2018</v>
      </c>
      <c r="N462" s="1120">
        <v>2017</v>
      </c>
    </row>
    <row r="463" spans="1:14" s="1060" customFormat="1">
      <c r="L463" s="3187" t="s">
        <v>707</v>
      </c>
      <c r="M463" s="3187"/>
      <c r="N463" s="3187"/>
    </row>
    <row r="464" spans="1:14" s="1060" customFormat="1">
      <c r="A464" s="1071" t="s">
        <v>1873</v>
      </c>
      <c r="B464" s="1072" t="s">
        <v>1945</v>
      </c>
    </row>
    <row r="465" spans="1:16" s="1060" customFormat="1">
      <c r="L465" s="865"/>
      <c r="M465" s="865"/>
    </row>
    <row r="466" spans="1:16" s="1060" customFormat="1">
      <c r="B466" s="1060" t="str">
        <f>BS!A11</f>
        <v>Balances with banks</v>
      </c>
      <c r="L466" s="1073">
        <f>BS!$F$11</f>
        <v>368828</v>
      </c>
      <c r="N466" s="1366">
        <v>497834.3</v>
      </c>
    </row>
    <row r="467" spans="1:16" s="1060" customFormat="1">
      <c r="B467" s="1060" t="s">
        <v>1869</v>
      </c>
      <c r="L467" s="1075" t="e">
        <f>'5.2.1'!#REF!</f>
        <v>#REF!</v>
      </c>
      <c r="N467" s="1366">
        <v>0</v>
      </c>
    </row>
    <row r="468" spans="1:16" s="1060" customFormat="1" ht="18.75" customHeight="1" thickBot="1">
      <c r="L468" s="1076" t="e">
        <f>SUM(L466:L467)</f>
        <v>#REF!</v>
      </c>
      <c r="N468" s="1535">
        <f>SUM(N466:N467)</f>
        <v>497834.3</v>
      </c>
    </row>
    <row r="469" spans="1:16" s="1060" customFormat="1" ht="13.5" hidden="1" thickTop="1">
      <c r="L469" s="1074"/>
      <c r="M469" s="865"/>
      <c r="N469" s="1077"/>
    </row>
    <row r="470" spans="1:16" s="1060" customFormat="1" hidden="1">
      <c r="A470" s="1071" t="s">
        <v>1879</v>
      </c>
      <c r="B470" s="1078" t="s">
        <v>1868</v>
      </c>
      <c r="L470" s="1074"/>
      <c r="M470" s="865"/>
      <c r="N470" s="1077"/>
    </row>
    <row r="471" spans="1:16" s="1060" customFormat="1" hidden="1">
      <c r="L471" s="1079"/>
      <c r="M471" s="870"/>
      <c r="N471" s="1063"/>
    </row>
    <row r="472" spans="1:16" s="1060" customFormat="1" hidden="1">
      <c r="B472" s="3177" t="s">
        <v>1936</v>
      </c>
      <c r="C472" s="3177"/>
      <c r="D472" s="3177"/>
      <c r="E472" s="3177"/>
      <c r="F472" s="3177"/>
      <c r="G472" s="3177"/>
      <c r="H472" s="3177"/>
      <c r="I472" s="3177"/>
      <c r="J472" s="3177"/>
      <c r="K472" s="3177"/>
      <c r="L472" s="3177"/>
      <c r="M472" s="3177"/>
      <c r="N472" s="3177"/>
    </row>
    <row r="473" spans="1:16" s="1060" customFormat="1" hidden="1">
      <c r="B473" s="3177"/>
      <c r="C473" s="3177"/>
      <c r="D473" s="3177"/>
      <c r="E473" s="3177"/>
      <c r="F473" s="3177"/>
      <c r="G473" s="3177"/>
      <c r="H473" s="3177"/>
      <c r="I473" s="3177"/>
      <c r="J473" s="3177"/>
      <c r="K473" s="3177"/>
      <c r="L473" s="3177"/>
      <c r="M473" s="3177"/>
      <c r="N473" s="3177"/>
    </row>
    <row r="474" spans="1:16" s="1060" customFormat="1" hidden="1">
      <c r="B474" s="3177"/>
      <c r="C474" s="3177"/>
      <c r="D474" s="3177"/>
      <c r="E474" s="3177"/>
      <c r="F474" s="3177"/>
      <c r="G474" s="3177"/>
      <c r="H474" s="3177"/>
      <c r="I474" s="3177"/>
      <c r="J474" s="3177"/>
      <c r="K474" s="3177"/>
      <c r="L474" s="3177"/>
      <c r="M474" s="3177"/>
      <c r="N474" s="3177"/>
    </row>
    <row r="475" spans="1:16" s="1060" customFormat="1" hidden="1">
      <c r="B475" s="3177"/>
      <c r="C475" s="3177"/>
      <c r="D475" s="3177"/>
      <c r="E475" s="3177"/>
      <c r="F475" s="3177"/>
      <c r="G475" s="3177"/>
      <c r="H475" s="3177"/>
      <c r="I475" s="3177"/>
      <c r="J475" s="3177"/>
      <c r="K475" s="3177"/>
      <c r="L475" s="3177"/>
      <c r="M475" s="3177"/>
      <c r="N475" s="3177"/>
    </row>
    <row r="476" spans="1:16" s="1060" customFormat="1" hidden="1">
      <c r="B476" s="3177"/>
      <c r="C476" s="3177"/>
      <c r="D476" s="3177"/>
      <c r="E476" s="3177"/>
      <c r="F476" s="3177"/>
      <c r="G476" s="3177"/>
      <c r="H476" s="3177"/>
      <c r="I476" s="3177"/>
      <c r="J476" s="3177"/>
      <c r="K476" s="3177"/>
      <c r="L476" s="3177"/>
      <c r="M476" s="3177"/>
      <c r="N476" s="3177"/>
      <c r="P476" s="1080">
        <f>BS!K38*BS!F38</f>
        <v>45803223.335359834</v>
      </c>
    </row>
    <row r="477" spans="1:16" s="1060" customFormat="1" ht="13.5" hidden="1" thickTop="1"/>
    <row r="478" spans="1:16" s="1060" customFormat="1" ht="13.5" thickTop="1">
      <c r="A478" s="1081" t="s">
        <v>1874</v>
      </c>
      <c r="B478" s="1082" t="s">
        <v>1067</v>
      </c>
      <c r="C478" s="1082"/>
    </row>
    <row r="479" spans="1:16" s="1060" customFormat="1">
      <c r="A479" s="1083"/>
      <c r="B479" s="1082"/>
      <c r="C479" s="1082"/>
    </row>
    <row r="480" spans="1:16" s="1060" customFormat="1">
      <c r="A480" s="1084"/>
      <c r="B480" s="1085" t="s">
        <v>1528</v>
      </c>
      <c r="C480" s="1085"/>
    </row>
    <row r="481" spans="1:14" s="1060" customFormat="1"/>
    <row r="482" spans="1:14" s="1060" customFormat="1" ht="12.75" customHeight="1">
      <c r="A482" s="1086" t="s">
        <v>1876</v>
      </c>
      <c r="B482" s="1087" t="s">
        <v>1068</v>
      </c>
      <c r="C482" s="1088"/>
      <c r="D482" s="1088"/>
      <c r="E482" s="1088"/>
      <c r="F482" s="1088"/>
      <c r="G482" s="1088"/>
      <c r="H482" s="1088"/>
      <c r="I482" s="1088"/>
      <c r="J482" s="1088"/>
      <c r="M482" s="1089"/>
    </row>
    <row r="483" spans="1:14" s="1060" customFormat="1">
      <c r="A483" s="1088"/>
      <c r="B483" s="1088"/>
      <c r="C483" s="1088"/>
      <c r="D483" s="1088"/>
      <c r="E483" s="1088"/>
      <c r="F483" s="1088"/>
      <c r="G483" s="1088"/>
      <c r="H483" s="1088"/>
      <c r="I483" s="1088"/>
      <c r="J483" s="1088"/>
      <c r="M483" s="1090"/>
    </row>
    <row r="484" spans="1:14" s="1060" customFormat="1">
      <c r="A484" s="1088"/>
      <c r="B484" s="3107" t="s">
        <v>1069</v>
      </c>
      <c r="C484" s="3107"/>
      <c r="D484" s="3107"/>
      <c r="E484" s="3107"/>
      <c r="F484" s="3107"/>
      <c r="G484" s="3107"/>
      <c r="H484" s="3107"/>
      <c r="I484" s="3107"/>
      <c r="J484" s="3107"/>
      <c r="K484" s="3107"/>
      <c r="L484" s="3107"/>
      <c r="M484" s="3113"/>
      <c r="N484" s="3113"/>
    </row>
    <row r="485" spans="1:14" s="1060" customFormat="1" ht="12.75" customHeight="1">
      <c r="A485" s="1088"/>
      <c r="B485" s="3107"/>
      <c r="C485" s="3107"/>
      <c r="D485" s="3107"/>
      <c r="E485" s="3107"/>
      <c r="F485" s="3107"/>
      <c r="G485" s="3107"/>
      <c r="H485" s="3107"/>
      <c r="I485" s="3107"/>
      <c r="J485" s="3107"/>
      <c r="K485" s="3107"/>
      <c r="L485" s="3107"/>
      <c r="M485" s="3113"/>
      <c r="N485" s="3113"/>
    </row>
    <row r="486" spans="1:14" s="1060" customFormat="1">
      <c r="A486" s="1088"/>
      <c r="B486" s="1088"/>
      <c r="C486" s="1088"/>
      <c r="D486" s="1088"/>
      <c r="E486" s="1088"/>
      <c r="F486" s="1088"/>
      <c r="G486" s="1088"/>
      <c r="H486" s="1088"/>
      <c r="I486" s="1088"/>
      <c r="J486" s="1088"/>
      <c r="M486" s="1091"/>
      <c r="N486" s="1092"/>
    </row>
    <row r="487" spans="1:14" s="1060" customFormat="1">
      <c r="A487" s="2946"/>
      <c r="B487" s="2946"/>
      <c r="C487" s="2946"/>
      <c r="D487" s="2946"/>
      <c r="E487" s="2946"/>
      <c r="F487" s="2946"/>
      <c r="G487" s="2946"/>
      <c r="H487" s="2946"/>
      <c r="I487" s="2946"/>
      <c r="J487" s="2946"/>
      <c r="K487" s="2946"/>
      <c r="L487" s="2946"/>
    </row>
    <row r="488" spans="1:14" s="1060" customFormat="1">
      <c r="A488" s="2946"/>
      <c r="B488" s="2946"/>
      <c r="C488" s="2946"/>
      <c r="D488" s="2946"/>
      <c r="E488" s="2946"/>
      <c r="F488" s="2946"/>
      <c r="G488" s="2946"/>
      <c r="H488" s="2946"/>
      <c r="I488" s="2946"/>
      <c r="J488" s="2946"/>
      <c r="K488" s="2946"/>
      <c r="L488" s="2946"/>
    </row>
    <row r="489" spans="1:14" s="1060" customFormat="1">
      <c r="A489" s="1088"/>
      <c r="B489" s="1088"/>
      <c r="C489" s="1088"/>
      <c r="D489" s="1088"/>
      <c r="E489" s="1088"/>
      <c r="F489" s="1088"/>
      <c r="G489" s="1088"/>
      <c r="H489" s="1088"/>
      <c r="I489" s="1088"/>
      <c r="J489" s="1088"/>
      <c r="M489" s="1089"/>
    </row>
    <row r="490" spans="1:14" s="1060" customFormat="1">
      <c r="A490" s="1088"/>
      <c r="B490" s="1088"/>
      <c r="C490" s="1088"/>
      <c r="D490" s="1088"/>
      <c r="E490" s="1088"/>
      <c r="F490" s="1088"/>
      <c r="G490" s="1088"/>
      <c r="H490" s="1088"/>
      <c r="I490" s="1088"/>
      <c r="J490" s="1088"/>
      <c r="M490" s="1089"/>
    </row>
    <row r="491" spans="1:14" s="1060" customFormat="1">
      <c r="A491" s="1088"/>
      <c r="B491" s="1088"/>
      <c r="C491" s="1088"/>
      <c r="D491" s="1088"/>
      <c r="E491" s="1088"/>
      <c r="F491" s="1088"/>
      <c r="G491" s="1088"/>
      <c r="H491" s="1088"/>
      <c r="I491" s="1088"/>
      <c r="J491" s="1088"/>
      <c r="M491" s="1089"/>
    </row>
    <row r="492" spans="1:14" s="1060" customFormat="1">
      <c r="A492" s="1088"/>
      <c r="B492" s="1088"/>
      <c r="C492" s="1088"/>
      <c r="D492" s="1088"/>
      <c r="E492" s="1088"/>
      <c r="F492" s="1088"/>
      <c r="G492" s="1088"/>
      <c r="H492" s="1088"/>
      <c r="I492" s="1088"/>
      <c r="J492" s="1088"/>
      <c r="M492" s="1089"/>
    </row>
    <row r="493" spans="1:14" s="1060" customFormat="1">
      <c r="A493" s="1088"/>
      <c r="B493" s="1088"/>
      <c r="C493" s="1088"/>
      <c r="D493" s="1088"/>
      <c r="E493" s="1088"/>
      <c r="F493" s="1088"/>
      <c r="G493" s="1088"/>
      <c r="H493" s="1088"/>
      <c r="I493" s="1088"/>
      <c r="J493" s="1088"/>
      <c r="M493" s="1089"/>
    </row>
    <row r="494" spans="1:14" s="1060" customFormat="1">
      <c r="A494" s="1088"/>
      <c r="B494" s="1088"/>
      <c r="C494" s="1088"/>
      <c r="D494" s="1088"/>
      <c r="E494" s="1088"/>
      <c r="F494" s="1088"/>
      <c r="G494" s="1088"/>
      <c r="H494" s="1088"/>
      <c r="I494" s="1088"/>
      <c r="J494" s="1088"/>
      <c r="M494" s="1089"/>
    </row>
    <row r="495" spans="1:14" s="1060" customFormat="1">
      <c r="A495" s="1088"/>
      <c r="B495" s="1088"/>
      <c r="C495" s="1088"/>
      <c r="D495" s="1088"/>
      <c r="E495" s="1088"/>
      <c r="F495" s="1088"/>
      <c r="G495" s="1088"/>
      <c r="H495" s="1088"/>
      <c r="I495" s="1088"/>
      <c r="J495" s="1088"/>
    </row>
    <row r="496" spans="1:14" s="1060" customFormat="1">
      <c r="A496" s="1088"/>
      <c r="B496" s="1087"/>
      <c r="C496" s="1088"/>
      <c r="D496" s="1088"/>
      <c r="E496" s="1088"/>
      <c r="F496" s="1088"/>
      <c r="G496" s="1088"/>
      <c r="H496" s="1088"/>
      <c r="J496" s="1093"/>
      <c r="M496" s="1094"/>
    </row>
    <row r="497" spans="1:14" s="1060" customFormat="1">
      <c r="M497" s="1094"/>
    </row>
    <row r="498" spans="1:14" s="1008" customFormat="1">
      <c r="A498" s="1019"/>
      <c r="B498" s="993"/>
      <c r="C498" s="988"/>
      <c r="D498" s="988"/>
      <c r="E498" s="988"/>
      <c r="F498" s="988"/>
      <c r="G498" s="988"/>
      <c r="H498" s="1051"/>
      <c r="I498" s="988"/>
      <c r="J498" s="1051"/>
      <c r="K498" s="988"/>
      <c r="L498" s="1051"/>
      <c r="M498" s="988"/>
      <c r="N498" s="1051"/>
    </row>
    <row r="499" spans="1:14" s="1008" customFormat="1">
      <c r="A499" s="1019"/>
      <c r="B499" s="993"/>
      <c r="C499" s="988"/>
      <c r="D499" s="988"/>
      <c r="E499" s="988"/>
      <c r="F499" s="988"/>
      <c r="G499" s="988"/>
      <c r="H499" s="1051"/>
      <c r="I499" s="988"/>
      <c r="J499" s="1051"/>
      <c r="K499" s="988"/>
      <c r="L499" s="1051"/>
      <c r="M499" s="988"/>
      <c r="N499" s="1051"/>
    </row>
    <row r="500" spans="1:14" s="1008" customFormat="1">
      <c r="A500" s="1019"/>
      <c r="B500" s="993"/>
      <c r="C500" s="988"/>
      <c r="D500" s="988"/>
      <c r="E500" s="988"/>
      <c r="F500" s="988"/>
      <c r="G500" s="988"/>
      <c r="H500" s="1051"/>
      <c r="I500" s="988"/>
      <c r="J500" s="1051"/>
      <c r="K500" s="988"/>
      <c r="L500" s="1051"/>
      <c r="M500" s="988"/>
      <c r="N500" s="1051"/>
    </row>
    <row r="501" spans="1:14" s="1008" customFormat="1">
      <c r="A501" s="1019"/>
      <c r="B501" s="993"/>
      <c r="C501" s="988"/>
      <c r="D501" s="988"/>
      <c r="E501" s="988"/>
      <c r="F501" s="988"/>
      <c r="G501" s="988"/>
      <c r="H501" s="1051"/>
      <c r="I501" s="988"/>
      <c r="J501" s="1051"/>
      <c r="K501" s="988"/>
      <c r="L501" s="1051"/>
      <c r="M501" s="988"/>
      <c r="N501" s="1051"/>
    </row>
    <row r="502" spans="1:14" s="1008" customFormat="1">
      <c r="A502" s="1019"/>
      <c r="B502" s="993"/>
      <c r="C502" s="988"/>
      <c r="D502" s="988"/>
      <c r="E502" s="988"/>
      <c r="F502" s="988"/>
      <c r="G502" s="988"/>
      <c r="H502" s="1051"/>
      <c r="I502" s="988"/>
      <c r="J502" s="1051"/>
      <c r="K502" s="988"/>
      <c r="L502" s="1051"/>
      <c r="M502" s="988"/>
      <c r="N502" s="1051"/>
    </row>
    <row r="503" spans="1:14" s="1008" customFormat="1">
      <c r="A503" s="1019"/>
      <c r="B503" s="993"/>
      <c r="C503" s="988"/>
      <c r="D503" s="988"/>
      <c r="E503" s="988"/>
      <c r="F503" s="988"/>
      <c r="G503" s="988"/>
      <c r="H503" s="1051"/>
      <c r="I503" s="988"/>
      <c r="J503" s="1051"/>
      <c r="K503" s="988"/>
      <c r="L503" s="1051"/>
      <c r="M503" s="988"/>
      <c r="N503" s="1051"/>
    </row>
    <row r="504" spans="1:14" s="1008" customFormat="1">
      <c r="A504" s="1019"/>
      <c r="B504" s="993"/>
      <c r="C504" s="988"/>
      <c r="D504" s="988"/>
      <c r="E504" s="988"/>
      <c r="F504" s="988"/>
      <c r="G504" s="988"/>
      <c r="H504" s="1051"/>
      <c r="I504" s="988"/>
      <c r="J504" s="1051"/>
      <c r="K504" s="988"/>
      <c r="L504" s="1051"/>
      <c r="M504" s="988"/>
      <c r="N504" s="1051"/>
    </row>
    <row r="505" spans="1:14" s="1008" customFormat="1">
      <c r="A505" s="1019"/>
      <c r="B505" s="993"/>
      <c r="C505" s="988"/>
      <c r="D505" s="988"/>
      <c r="E505" s="988"/>
      <c r="F505" s="988"/>
      <c r="G505" s="988"/>
      <c r="H505" s="1051"/>
      <c r="I505" s="988"/>
      <c r="J505" s="1051"/>
      <c r="K505" s="988"/>
      <c r="L505" s="1051"/>
      <c r="M505" s="988"/>
      <c r="N505" s="1051"/>
    </row>
    <row r="506" spans="1:14" s="1008" customFormat="1">
      <c r="A506" s="1019"/>
      <c r="B506" s="993"/>
      <c r="C506" s="988"/>
      <c r="D506" s="988"/>
      <c r="E506" s="988"/>
      <c r="F506" s="988"/>
      <c r="G506" s="988"/>
      <c r="H506" s="1051"/>
      <c r="I506" s="988"/>
      <c r="J506" s="1051"/>
      <c r="K506" s="988"/>
      <c r="L506" s="1051"/>
      <c r="M506" s="988"/>
      <c r="N506" s="1051"/>
    </row>
    <row r="507" spans="1:14" s="1008" customFormat="1">
      <c r="A507" s="1019"/>
      <c r="B507" s="993"/>
      <c r="C507" s="988"/>
      <c r="D507" s="988"/>
      <c r="E507" s="988"/>
      <c r="F507" s="988"/>
      <c r="G507" s="988"/>
      <c r="H507" s="1051"/>
      <c r="I507" s="988"/>
      <c r="J507" s="1051"/>
      <c r="K507" s="988"/>
      <c r="L507" s="1051"/>
      <c r="M507" s="988"/>
      <c r="N507" s="1051"/>
    </row>
    <row r="508" spans="1:14" s="1008" customFormat="1">
      <c r="A508" s="1019"/>
      <c r="B508" s="993"/>
      <c r="C508" s="988"/>
      <c r="D508" s="988"/>
      <c r="E508" s="988"/>
      <c r="F508" s="988"/>
      <c r="G508" s="988"/>
      <c r="H508" s="1051"/>
      <c r="I508" s="988"/>
      <c r="J508" s="1051"/>
      <c r="K508" s="988"/>
      <c r="L508" s="1051"/>
      <c r="M508" s="988"/>
      <c r="N508" s="1051"/>
    </row>
    <row r="509" spans="1:14" s="1008" customFormat="1">
      <c r="A509" s="1019"/>
      <c r="B509" s="993"/>
      <c r="C509" s="988"/>
      <c r="D509" s="988"/>
      <c r="E509" s="988"/>
      <c r="F509" s="988"/>
      <c r="G509" s="988"/>
      <c r="H509" s="1051"/>
      <c r="I509" s="988"/>
      <c r="J509" s="1051"/>
      <c r="K509" s="988"/>
      <c r="L509" s="1051"/>
      <c r="M509" s="988"/>
      <c r="N509" s="1051"/>
    </row>
    <row r="510" spans="1:14" s="1008" customFormat="1">
      <c r="A510" s="1019"/>
      <c r="B510" s="993"/>
      <c r="C510" s="988"/>
      <c r="D510" s="988"/>
      <c r="E510" s="988"/>
      <c r="F510" s="988"/>
      <c r="G510" s="988"/>
      <c r="H510" s="1051"/>
      <c r="I510" s="988"/>
      <c r="J510" s="1051"/>
      <c r="K510" s="988"/>
      <c r="L510" s="1051"/>
      <c r="M510" s="988"/>
      <c r="N510" s="1051"/>
    </row>
    <row r="511" spans="1:14" s="1008" customFormat="1">
      <c r="A511" s="1019"/>
      <c r="B511" s="993"/>
      <c r="C511" s="988"/>
      <c r="D511" s="988"/>
      <c r="E511" s="988"/>
      <c r="F511" s="988"/>
      <c r="G511" s="988"/>
      <c r="H511" s="1051"/>
      <c r="I511" s="988"/>
      <c r="J511" s="1051"/>
      <c r="K511" s="988"/>
      <c r="L511" s="1051"/>
      <c r="M511" s="988"/>
      <c r="N511" s="1051"/>
    </row>
    <row r="512" spans="1:14" s="1008" customFormat="1">
      <c r="A512" s="1019"/>
      <c r="B512" s="993"/>
      <c r="C512" s="988"/>
      <c r="D512" s="988"/>
      <c r="E512" s="988"/>
      <c r="F512" s="988"/>
      <c r="G512" s="988"/>
      <c r="H512" s="1051"/>
      <c r="I512" s="988"/>
      <c r="J512" s="1051"/>
      <c r="K512" s="988"/>
      <c r="L512" s="1051"/>
      <c r="M512" s="988"/>
      <c r="N512" s="1051"/>
    </row>
    <row r="513" spans="1:14" s="1008" customFormat="1">
      <c r="A513" s="1019"/>
      <c r="B513" s="993"/>
      <c r="C513" s="988"/>
      <c r="D513" s="988"/>
      <c r="E513" s="988"/>
      <c r="F513" s="988"/>
      <c r="G513" s="988"/>
      <c r="H513" s="1051"/>
      <c r="I513" s="988"/>
      <c r="J513" s="1051"/>
      <c r="K513" s="988"/>
      <c r="L513" s="1051"/>
      <c r="M513" s="988"/>
      <c r="N513" s="1051"/>
    </row>
    <row r="514" spans="1:14" s="1008" customFormat="1">
      <c r="A514" s="1019"/>
      <c r="B514" s="993"/>
      <c r="C514" s="988"/>
      <c r="D514" s="988"/>
      <c r="E514" s="988"/>
      <c r="F514" s="988"/>
      <c r="G514" s="988"/>
      <c r="H514" s="1051"/>
      <c r="I514" s="988"/>
      <c r="J514" s="1051"/>
      <c r="K514" s="988"/>
      <c r="L514" s="1051"/>
      <c r="M514" s="988"/>
      <c r="N514" s="1051"/>
    </row>
    <row r="515" spans="1:14" s="1008" customFormat="1">
      <c r="A515" s="1019"/>
      <c r="B515" s="993"/>
      <c r="C515" s="988"/>
      <c r="D515" s="988"/>
      <c r="E515" s="988"/>
      <c r="F515" s="988"/>
      <c r="G515" s="988"/>
      <c r="H515" s="1051"/>
      <c r="I515" s="988"/>
      <c r="J515" s="1051"/>
      <c r="K515" s="988"/>
      <c r="L515" s="1051"/>
      <c r="M515" s="988"/>
      <c r="N515" s="1051"/>
    </row>
    <row r="516" spans="1:14" s="1008" customFormat="1">
      <c r="A516" s="1019"/>
      <c r="B516" s="993"/>
      <c r="C516" s="988"/>
      <c r="D516" s="988"/>
      <c r="E516" s="988"/>
      <c r="F516" s="988"/>
      <c r="G516" s="988"/>
      <c r="H516" s="1051"/>
      <c r="I516" s="988"/>
      <c r="J516" s="1051"/>
      <c r="K516" s="988"/>
      <c r="L516" s="1051"/>
      <c r="M516" s="988"/>
      <c r="N516" s="1051"/>
    </row>
    <row r="517" spans="1:14" s="1008" customFormat="1">
      <c r="A517" s="1019"/>
      <c r="B517" s="993"/>
      <c r="C517" s="988"/>
      <c r="D517" s="988"/>
      <c r="E517" s="988"/>
      <c r="F517" s="988"/>
      <c r="G517" s="988"/>
      <c r="H517" s="1051"/>
      <c r="I517" s="988"/>
      <c r="J517" s="1051"/>
      <c r="K517" s="988"/>
      <c r="L517" s="1051"/>
      <c r="M517" s="988"/>
      <c r="N517" s="1051"/>
    </row>
    <row r="518" spans="1:14" s="1008" customFormat="1">
      <c r="A518" s="1019"/>
      <c r="B518" s="993"/>
      <c r="C518" s="988"/>
      <c r="D518" s="988"/>
      <c r="E518" s="988"/>
      <c r="F518" s="988"/>
      <c r="G518" s="988"/>
      <c r="H518" s="1051"/>
      <c r="I518" s="988"/>
      <c r="J518" s="1051"/>
      <c r="K518" s="988"/>
      <c r="L518" s="1051"/>
      <c r="M518" s="988"/>
      <c r="N518" s="1051"/>
    </row>
    <row r="519" spans="1:14" s="1008" customFormat="1">
      <c r="A519" s="1019"/>
      <c r="B519" s="993"/>
      <c r="C519" s="988"/>
      <c r="D519" s="988"/>
      <c r="E519" s="988"/>
      <c r="F519" s="988"/>
      <c r="G519" s="988"/>
      <c r="H519" s="1051"/>
      <c r="I519" s="988"/>
      <c r="J519" s="1051"/>
      <c r="K519" s="988"/>
      <c r="L519" s="1051"/>
      <c r="M519" s="988"/>
      <c r="N519" s="1051"/>
    </row>
    <row r="520" spans="1:14" s="1008" customFormat="1">
      <c r="A520" s="1019"/>
      <c r="B520" s="993"/>
      <c r="C520" s="988"/>
      <c r="D520" s="988"/>
      <c r="E520" s="988"/>
      <c r="F520" s="988"/>
      <c r="G520" s="988"/>
      <c r="H520" s="1051"/>
      <c r="I520" s="988"/>
      <c r="J520" s="1051"/>
      <c r="K520" s="988"/>
      <c r="L520" s="1051"/>
      <c r="M520" s="988"/>
      <c r="N520" s="1051"/>
    </row>
    <row r="521" spans="1:14" s="1008" customFormat="1">
      <c r="A521" s="1019"/>
      <c r="B521" s="993"/>
      <c r="C521" s="988"/>
      <c r="D521" s="988"/>
      <c r="E521" s="988"/>
      <c r="F521" s="988"/>
      <c r="G521" s="988"/>
      <c r="H521" s="1051"/>
      <c r="I521" s="988"/>
      <c r="J521" s="1051"/>
      <c r="K521" s="988"/>
      <c r="L521" s="1051"/>
      <c r="M521" s="988"/>
      <c r="N521" s="1051"/>
    </row>
    <row r="522" spans="1:14" s="1008" customFormat="1">
      <c r="A522" s="1019"/>
      <c r="B522" s="993"/>
      <c r="C522" s="988"/>
      <c r="D522" s="988"/>
      <c r="E522" s="988"/>
      <c r="F522" s="988"/>
      <c r="G522" s="988"/>
      <c r="H522" s="1051"/>
      <c r="I522" s="988"/>
      <c r="J522" s="1051"/>
      <c r="K522" s="988"/>
      <c r="L522" s="1051"/>
      <c r="M522" s="988"/>
      <c r="N522" s="1051"/>
    </row>
    <row r="523" spans="1:14" s="1008" customFormat="1">
      <c r="A523" s="1019"/>
      <c r="B523" s="993"/>
      <c r="C523" s="988"/>
      <c r="D523" s="988"/>
      <c r="E523" s="988"/>
      <c r="F523" s="988"/>
      <c r="G523" s="988"/>
      <c r="H523" s="1051"/>
      <c r="I523" s="988"/>
      <c r="J523" s="1051"/>
      <c r="K523" s="988"/>
      <c r="L523" s="1051"/>
      <c r="M523" s="988"/>
      <c r="N523" s="1051"/>
    </row>
    <row r="524" spans="1:14" s="1008" customFormat="1">
      <c r="A524" s="1019"/>
      <c r="B524" s="993"/>
      <c r="C524" s="988"/>
      <c r="D524" s="988"/>
      <c r="E524" s="988"/>
      <c r="F524" s="988"/>
      <c r="G524" s="988"/>
      <c r="H524" s="1051"/>
      <c r="I524" s="988"/>
      <c r="J524" s="1051"/>
      <c r="K524" s="988"/>
      <c r="L524" s="1051"/>
      <c r="M524" s="988"/>
      <c r="N524" s="1051"/>
    </row>
    <row r="525" spans="1:14" s="1008" customFormat="1">
      <c r="A525" s="1019"/>
      <c r="B525" s="993"/>
      <c r="C525" s="988"/>
      <c r="D525" s="988"/>
      <c r="E525" s="988"/>
      <c r="F525" s="988"/>
      <c r="G525" s="988"/>
      <c r="H525" s="1051"/>
      <c r="I525" s="988"/>
      <c r="J525" s="1051"/>
      <c r="K525" s="988"/>
      <c r="L525" s="1051"/>
      <c r="M525" s="988"/>
      <c r="N525" s="1051"/>
    </row>
    <row r="526" spans="1:14" s="1008" customFormat="1">
      <c r="A526" s="1019"/>
      <c r="B526" s="993"/>
      <c r="C526" s="988"/>
      <c r="D526" s="988"/>
      <c r="E526" s="988"/>
      <c r="F526" s="988"/>
      <c r="G526" s="988"/>
      <c r="H526" s="1051"/>
      <c r="I526" s="988"/>
      <c r="J526" s="1051"/>
      <c r="K526" s="988"/>
      <c r="L526" s="1051"/>
      <c r="M526" s="988"/>
      <c r="N526" s="1051"/>
    </row>
    <row r="527" spans="1:14" s="1008" customFormat="1">
      <c r="A527" s="1019"/>
      <c r="B527" s="993"/>
      <c r="C527" s="988"/>
      <c r="D527" s="988"/>
      <c r="E527" s="988"/>
      <c r="F527" s="988"/>
      <c r="G527" s="988"/>
      <c r="H527" s="1051"/>
      <c r="I527" s="988"/>
      <c r="J527" s="1051"/>
      <c r="K527" s="988"/>
      <c r="L527" s="1051"/>
      <c r="M527" s="988"/>
      <c r="N527" s="1051"/>
    </row>
    <row r="528" spans="1:14" s="1008" customFormat="1">
      <c r="A528" s="1019"/>
      <c r="B528" s="993"/>
      <c r="C528" s="988"/>
      <c r="D528" s="988"/>
      <c r="E528" s="988"/>
      <c r="F528" s="988"/>
      <c r="G528" s="988"/>
      <c r="H528" s="1051"/>
      <c r="I528" s="988"/>
      <c r="J528" s="1051"/>
      <c r="K528" s="988"/>
      <c r="L528" s="1051"/>
      <c r="M528" s="988"/>
      <c r="N528" s="1051"/>
    </row>
    <row r="529" spans="1:14" s="1008" customFormat="1">
      <c r="A529" s="1019"/>
      <c r="B529" s="993"/>
      <c r="C529" s="988"/>
      <c r="D529" s="988"/>
      <c r="E529" s="988"/>
      <c r="F529" s="988"/>
      <c r="G529" s="988"/>
      <c r="H529" s="1051"/>
      <c r="I529" s="988"/>
      <c r="J529" s="1051"/>
      <c r="K529" s="988"/>
      <c r="L529" s="1051"/>
      <c r="M529" s="988"/>
      <c r="N529" s="1051"/>
    </row>
    <row r="530" spans="1:14" s="1008" customFormat="1">
      <c r="A530" s="1019"/>
      <c r="B530" s="993"/>
      <c r="C530" s="988"/>
      <c r="D530" s="988"/>
      <c r="E530" s="988"/>
      <c r="F530" s="988"/>
      <c r="G530" s="988"/>
      <c r="H530" s="1051"/>
      <c r="I530" s="988"/>
      <c r="J530" s="1051"/>
      <c r="K530" s="988"/>
      <c r="L530" s="1051"/>
      <c r="M530" s="988"/>
      <c r="N530" s="1051"/>
    </row>
    <row r="531" spans="1:14" s="1008" customFormat="1">
      <c r="A531" s="1019"/>
      <c r="B531" s="993"/>
      <c r="C531" s="988"/>
      <c r="D531" s="988"/>
      <c r="E531" s="988"/>
      <c r="F531" s="988"/>
      <c r="G531" s="988"/>
      <c r="H531" s="1051"/>
      <c r="I531" s="988"/>
      <c r="J531" s="1051"/>
      <c r="K531" s="988"/>
      <c r="L531" s="1051"/>
      <c r="M531" s="988"/>
      <c r="N531" s="1051"/>
    </row>
    <row r="532" spans="1:14" s="1008" customFormat="1">
      <c r="A532" s="1019"/>
      <c r="B532" s="993"/>
      <c r="C532" s="988"/>
      <c r="D532" s="988"/>
      <c r="E532" s="988"/>
      <c r="F532" s="988"/>
      <c r="G532" s="988"/>
      <c r="H532" s="1051"/>
      <c r="I532" s="988"/>
      <c r="J532" s="1051"/>
      <c r="K532" s="988"/>
      <c r="L532" s="1051"/>
      <c r="M532" s="988"/>
      <c r="N532" s="1051"/>
    </row>
    <row r="533" spans="1:14" s="1008" customFormat="1">
      <c r="A533" s="1019"/>
      <c r="B533" s="993"/>
      <c r="C533" s="988"/>
      <c r="D533" s="988"/>
      <c r="E533" s="988"/>
      <c r="F533" s="988"/>
      <c r="G533" s="988"/>
      <c r="H533" s="1051"/>
      <c r="I533" s="988"/>
      <c r="J533" s="1051"/>
      <c r="K533" s="988"/>
      <c r="L533" s="1051"/>
      <c r="M533" s="988"/>
      <c r="N533" s="1051"/>
    </row>
    <row r="534" spans="1:14" s="1008" customFormat="1">
      <c r="A534" s="1019"/>
      <c r="B534" s="993"/>
      <c r="C534" s="988"/>
      <c r="D534" s="988"/>
      <c r="E534" s="988"/>
      <c r="F534" s="988"/>
      <c r="G534" s="988"/>
      <c r="H534" s="1051"/>
      <c r="I534" s="988"/>
      <c r="J534" s="1051"/>
      <c r="K534" s="988"/>
      <c r="L534" s="1051"/>
      <c r="M534" s="988"/>
      <c r="N534" s="1051"/>
    </row>
    <row r="535" spans="1:14" s="1008" customFormat="1">
      <c r="A535" s="1019"/>
      <c r="B535" s="993"/>
      <c r="C535" s="988"/>
      <c r="D535" s="988"/>
      <c r="E535" s="988"/>
      <c r="F535" s="988"/>
      <c r="G535" s="988"/>
      <c r="H535" s="1051"/>
      <c r="I535" s="988"/>
      <c r="J535" s="1051"/>
      <c r="K535" s="988"/>
      <c r="L535" s="1051"/>
      <c r="M535" s="988"/>
      <c r="N535" s="1051"/>
    </row>
    <row r="536" spans="1:14" s="1008" customFormat="1">
      <c r="A536" s="1019"/>
      <c r="B536" s="993"/>
      <c r="C536" s="988"/>
      <c r="D536" s="988"/>
      <c r="E536" s="988"/>
      <c r="F536" s="988"/>
      <c r="G536" s="988"/>
      <c r="H536" s="1051"/>
      <c r="I536" s="988"/>
      <c r="J536" s="1051"/>
      <c r="K536" s="988"/>
      <c r="L536" s="1051"/>
      <c r="M536" s="988"/>
      <c r="N536" s="1051"/>
    </row>
    <row r="537" spans="1:14" s="1008" customFormat="1">
      <c r="A537" s="1019"/>
      <c r="B537" s="993"/>
      <c r="C537" s="988"/>
      <c r="D537" s="988"/>
      <c r="E537" s="988"/>
      <c r="F537" s="988"/>
      <c r="G537" s="988"/>
      <c r="H537" s="1051"/>
      <c r="I537" s="988"/>
      <c r="J537" s="1051"/>
      <c r="K537" s="988"/>
      <c r="L537" s="1051"/>
      <c r="M537" s="988"/>
      <c r="N537" s="1051"/>
    </row>
    <row r="538" spans="1:14" s="1008" customFormat="1">
      <c r="A538" s="1019"/>
      <c r="B538" s="993"/>
      <c r="C538" s="988"/>
      <c r="D538" s="988"/>
      <c r="E538" s="988"/>
      <c r="F538" s="988"/>
      <c r="G538" s="988"/>
      <c r="H538" s="1051"/>
      <c r="I538" s="988"/>
      <c r="J538" s="1051"/>
      <c r="K538" s="988"/>
      <c r="L538" s="1051"/>
      <c r="M538" s="988"/>
      <c r="N538" s="1051"/>
    </row>
    <row r="539" spans="1:14" s="1008" customFormat="1">
      <c r="A539" s="1019"/>
      <c r="B539" s="993"/>
      <c r="C539" s="988"/>
      <c r="D539" s="988"/>
      <c r="E539" s="988"/>
      <c r="F539" s="988"/>
      <c r="G539" s="988"/>
      <c r="H539" s="1051"/>
      <c r="I539" s="988"/>
      <c r="J539" s="1051"/>
      <c r="K539" s="988"/>
      <c r="L539" s="1051"/>
      <c r="M539" s="988"/>
      <c r="N539" s="1051"/>
    </row>
    <row r="540" spans="1:14" s="1008" customFormat="1">
      <c r="A540" s="1019"/>
      <c r="B540" s="993"/>
      <c r="C540" s="988"/>
      <c r="D540" s="988"/>
      <c r="E540" s="988"/>
      <c r="F540" s="988"/>
      <c r="G540" s="988"/>
      <c r="H540" s="1051"/>
      <c r="I540" s="988"/>
      <c r="J540" s="1051"/>
      <c r="K540" s="988"/>
      <c r="L540" s="1051"/>
      <c r="M540" s="988"/>
      <c r="N540" s="1051"/>
    </row>
    <row r="541" spans="1:14" s="1008" customFormat="1">
      <c r="A541" s="1019"/>
      <c r="B541" s="993"/>
      <c r="C541" s="988"/>
      <c r="D541" s="988"/>
      <c r="E541" s="988"/>
      <c r="F541" s="988"/>
      <c r="G541" s="988"/>
      <c r="H541" s="1051"/>
      <c r="I541" s="988"/>
      <c r="J541" s="1051"/>
      <c r="K541" s="988"/>
      <c r="L541" s="1051"/>
      <c r="M541" s="988"/>
      <c r="N541" s="1051"/>
    </row>
    <row r="542" spans="1:14" s="1008" customFormat="1">
      <c r="A542" s="1019"/>
      <c r="B542" s="993"/>
      <c r="C542" s="988"/>
      <c r="D542" s="988"/>
      <c r="E542" s="988"/>
      <c r="F542" s="988"/>
      <c r="G542" s="988"/>
      <c r="H542" s="1051"/>
      <c r="I542" s="988"/>
      <c r="J542" s="1051"/>
      <c r="K542" s="988"/>
      <c r="L542" s="1051"/>
      <c r="M542" s="988"/>
      <c r="N542" s="1051"/>
    </row>
    <row r="543" spans="1:14" s="1008" customFormat="1">
      <c r="A543" s="1019"/>
      <c r="B543" s="993"/>
      <c r="C543" s="988"/>
      <c r="D543" s="988"/>
      <c r="E543" s="988"/>
      <c r="F543" s="988"/>
      <c r="G543" s="988"/>
      <c r="H543" s="1051"/>
      <c r="I543" s="988"/>
      <c r="J543" s="1051"/>
      <c r="K543" s="988"/>
      <c r="L543" s="1051"/>
      <c r="M543" s="988"/>
      <c r="N543" s="1051"/>
    </row>
    <row r="544" spans="1:14" s="1008" customFormat="1">
      <c r="A544" s="1019"/>
      <c r="B544" s="993"/>
      <c r="C544" s="988"/>
      <c r="D544" s="988"/>
      <c r="E544" s="988"/>
      <c r="F544" s="988"/>
      <c r="G544" s="988"/>
      <c r="H544" s="1051"/>
      <c r="I544" s="988"/>
      <c r="J544" s="1051"/>
      <c r="K544" s="988"/>
      <c r="L544" s="1051"/>
      <c r="M544" s="988"/>
      <c r="N544" s="1051"/>
    </row>
    <row r="545" spans="1:15" s="1008" customFormat="1">
      <c r="A545" s="1019"/>
      <c r="B545" s="993"/>
      <c r="C545" s="988"/>
      <c r="D545" s="988"/>
      <c r="E545" s="988"/>
      <c r="F545" s="988"/>
      <c r="G545" s="988"/>
      <c r="H545" s="1051"/>
      <c r="I545" s="988"/>
      <c r="J545" s="1051"/>
      <c r="K545" s="988"/>
      <c r="L545" s="1051"/>
      <c r="M545" s="988"/>
      <c r="N545" s="1051"/>
    </row>
    <row r="546" spans="1:15" s="1008" customFormat="1">
      <c r="A546" s="1019"/>
      <c r="B546" s="993"/>
      <c r="C546" s="988"/>
      <c r="D546" s="988"/>
      <c r="E546" s="988"/>
      <c r="F546" s="988"/>
      <c r="G546" s="988"/>
      <c r="H546" s="1051"/>
      <c r="I546" s="988"/>
      <c r="J546" s="1051"/>
      <c r="K546" s="988"/>
      <c r="L546" s="1051"/>
      <c r="M546" s="988"/>
      <c r="N546" s="1051"/>
    </row>
    <row r="547" spans="1:15" s="1008" customFormat="1">
      <c r="A547" s="1019"/>
      <c r="B547" s="993"/>
      <c r="C547" s="988"/>
      <c r="D547" s="988"/>
      <c r="E547" s="988"/>
      <c r="F547" s="988"/>
      <c r="G547" s="988"/>
      <c r="H547" s="1051"/>
      <c r="I547" s="988"/>
      <c r="J547" s="1051"/>
      <c r="K547" s="988"/>
      <c r="L547" s="1051"/>
      <c r="M547" s="988"/>
      <c r="N547" s="1051"/>
    </row>
    <row r="548" spans="1:15" s="1008" customFormat="1">
      <c r="A548" s="1019"/>
      <c r="B548" s="993"/>
      <c r="C548" s="988"/>
      <c r="D548" s="988"/>
      <c r="E548" s="988"/>
      <c r="F548" s="988"/>
      <c r="G548" s="988"/>
      <c r="H548" s="1051"/>
      <c r="I548" s="988"/>
      <c r="J548" s="1051"/>
      <c r="K548" s="988"/>
      <c r="L548" s="1051"/>
      <c r="M548" s="988"/>
      <c r="N548" s="1051"/>
    </row>
    <row r="549" spans="1:15" s="1008" customFormat="1">
      <c r="A549" s="873"/>
      <c r="B549" s="874"/>
      <c r="C549" s="861"/>
      <c r="D549" s="861"/>
      <c r="E549" s="861"/>
      <c r="F549" s="1509"/>
      <c r="G549" s="1509"/>
      <c r="H549" s="861"/>
      <c r="I549" s="861"/>
      <c r="J549" s="861"/>
      <c r="K549" s="861"/>
      <c r="L549" s="861"/>
      <c r="M549" s="861"/>
      <c r="N549" s="861"/>
    </row>
    <row r="550" spans="1:15" s="1008" customFormat="1">
      <c r="A550" s="873"/>
      <c r="B550" s="874"/>
      <c r="C550" s="861"/>
      <c r="D550" s="861"/>
      <c r="E550" s="861"/>
      <c r="F550" s="1509"/>
      <c r="G550" s="1509"/>
      <c r="H550" s="861"/>
      <c r="I550" s="861"/>
      <c r="J550" s="861"/>
      <c r="K550" s="861"/>
      <c r="L550" s="861"/>
      <c r="M550" s="861"/>
      <c r="N550" s="861"/>
    </row>
    <row r="551" spans="1:15">
      <c r="O551" s="861"/>
    </row>
    <row r="552" spans="1:15">
      <c r="O552" s="861"/>
    </row>
    <row r="1162" spans="15:50">
      <c r="S1162" s="861" t="s">
        <v>1682</v>
      </c>
      <c r="T1162" s="861" t="s">
        <v>1683</v>
      </c>
      <c r="U1162" s="861" t="s">
        <v>1681</v>
      </c>
    </row>
    <row r="1163" spans="15:50">
      <c r="O1163" s="988" t="s">
        <v>1410</v>
      </c>
      <c r="P1163" s="895">
        <f>Lead!K14</f>
        <v>0</v>
      </c>
      <c r="R1163" s="895">
        <f>Lead!M14</f>
        <v>47</v>
      </c>
      <c r="S1163" s="875" t="s">
        <v>1419</v>
      </c>
      <c r="T1163" s="875" t="s">
        <v>1421</v>
      </c>
      <c r="U1163" s="875" t="s">
        <v>1430</v>
      </c>
      <c r="V1163" s="875" t="s">
        <v>1430</v>
      </c>
      <c r="W1163" s="895">
        <f t="shared" ref="W1163:W1170" si="2">SUMIF($U$1163:$U$1190,V1163,$P$1163:$P$1190)</f>
        <v>0</v>
      </c>
      <c r="X1163" s="895" t="e">
        <f t="shared" ref="X1163:X1170" si="3">W1163/$W$1171*100</f>
        <v>#DIV/0!</v>
      </c>
    </row>
    <row r="1164" spans="15:50">
      <c r="O1164" s="988" t="s">
        <v>1411</v>
      </c>
      <c r="P1164" s="1095">
        <f>Lead!K15</f>
        <v>0</v>
      </c>
      <c r="Q1164" s="870"/>
      <c r="R1164" s="1095">
        <f>Lead!M15</f>
        <v>470045</v>
      </c>
      <c r="S1164" s="1096" t="s">
        <v>1419</v>
      </c>
      <c r="T1164" s="1096" t="s">
        <v>1422</v>
      </c>
      <c r="U1164" s="1096" t="s">
        <v>1431</v>
      </c>
      <c r="V1164" s="1096" t="s">
        <v>1432</v>
      </c>
      <c r="W1164" s="895">
        <f t="shared" si="2"/>
        <v>0</v>
      </c>
      <c r="X1164" s="1095" t="e">
        <f t="shared" si="3"/>
        <v>#DIV/0!</v>
      </c>
      <c r="Y1164" s="870"/>
      <c r="Z1164" s="870"/>
      <c r="AA1164" s="870"/>
      <c r="AB1164" s="870"/>
      <c r="AC1164" s="870"/>
      <c r="AD1164" s="870"/>
      <c r="AE1164" s="870"/>
      <c r="AF1164" s="870"/>
      <c r="AG1164" s="870"/>
      <c r="AH1164" s="870"/>
      <c r="AI1164" s="870"/>
      <c r="AJ1164" s="870"/>
      <c r="AK1164" s="870"/>
      <c r="AL1164" s="870"/>
      <c r="AM1164" s="870"/>
      <c r="AN1164" s="870"/>
      <c r="AO1164" s="870"/>
      <c r="AP1164" s="870"/>
      <c r="AQ1164" s="870"/>
      <c r="AR1164" s="870"/>
      <c r="AS1164" s="870"/>
      <c r="AT1164" s="870"/>
      <c r="AU1164" s="870"/>
      <c r="AV1164" s="870"/>
      <c r="AW1164" s="870"/>
      <c r="AX1164" s="870"/>
    </row>
    <row r="1165" spans="15:50">
      <c r="O1165" s="988" t="s">
        <v>1412</v>
      </c>
      <c r="P1165" s="895">
        <f>Lead!K16</f>
        <v>0</v>
      </c>
      <c r="R1165" s="895">
        <f>Lead!M16</f>
        <v>68877</v>
      </c>
      <c r="S1165" s="875" t="s">
        <v>1684</v>
      </c>
      <c r="T1165" s="875" t="s">
        <v>821</v>
      </c>
      <c r="U1165" s="875" t="s">
        <v>1433</v>
      </c>
      <c r="V1165" s="875" t="s">
        <v>989</v>
      </c>
      <c r="W1165" s="895">
        <f t="shared" si="2"/>
        <v>0</v>
      </c>
      <c r="X1165" s="895" t="e">
        <f t="shared" si="3"/>
        <v>#DIV/0!</v>
      </c>
    </row>
    <row r="1166" spans="15:50">
      <c r="O1166" s="988" t="s">
        <v>1413</v>
      </c>
      <c r="P1166" s="895">
        <f>Lead!K17</f>
        <v>0</v>
      </c>
      <c r="R1166" s="895">
        <f>Lead!M17</f>
        <v>6</v>
      </c>
      <c r="S1166" s="875" t="s">
        <v>1684</v>
      </c>
      <c r="T1166" s="875" t="s">
        <v>821</v>
      </c>
      <c r="U1166" s="875" t="s">
        <v>1433</v>
      </c>
      <c r="V1166" s="875" t="s">
        <v>1431</v>
      </c>
      <c r="W1166" s="895">
        <f t="shared" si="2"/>
        <v>0</v>
      </c>
      <c r="X1166" s="895" t="e">
        <f t="shared" si="3"/>
        <v>#DIV/0!</v>
      </c>
    </row>
    <row r="1167" spans="15:50">
      <c r="O1167" s="988" t="s">
        <v>1414</v>
      </c>
      <c r="P1167" s="895">
        <f>Lead!K18</f>
        <v>0</v>
      </c>
      <c r="R1167" s="895">
        <f>Lead!M18</f>
        <v>847</v>
      </c>
      <c r="S1167" s="875" t="s">
        <v>1424</v>
      </c>
      <c r="T1167" s="875" t="s">
        <v>1425</v>
      </c>
      <c r="U1167" s="875" t="s">
        <v>1429</v>
      </c>
      <c r="V1167" s="875" t="s">
        <v>1434</v>
      </c>
      <c r="W1167" s="895">
        <f t="shared" si="2"/>
        <v>0</v>
      </c>
      <c r="X1167" s="895" t="e">
        <f t="shared" si="3"/>
        <v>#DIV/0!</v>
      </c>
    </row>
    <row r="1168" spans="15:50">
      <c r="O1168" s="988" t="s">
        <v>1415</v>
      </c>
      <c r="P1168" s="895">
        <f>Lead!K19</f>
        <v>0</v>
      </c>
      <c r="R1168" s="895">
        <f>Lead!M19</f>
        <v>33</v>
      </c>
      <c r="S1168" s="875" t="s">
        <v>1423</v>
      </c>
      <c r="T1168" s="875" t="s">
        <v>1426</v>
      </c>
      <c r="U1168" s="875" t="s">
        <v>1434</v>
      </c>
      <c r="V1168" s="875" t="s">
        <v>1433</v>
      </c>
      <c r="W1168" s="895">
        <f t="shared" si="2"/>
        <v>0</v>
      </c>
      <c r="X1168" s="895" t="e">
        <f t="shared" si="3"/>
        <v>#DIV/0!</v>
      </c>
    </row>
    <row r="1169" spans="15:50">
      <c r="O1169" s="988" t="s">
        <v>1416</v>
      </c>
      <c r="P1169" s="895">
        <f>Lead!K20</f>
        <v>0</v>
      </c>
      <c r="R1169" s="895">
        <f>Lead!M20</f>
        <v>5</v>
      </c>
      <c r="S1169" s="875" t="s">
        <v>1684</v>
      </c>
      <c r="T1169" s="875" t="s">
        <v>1426</v>
      </c>
      <c r="U1169" s="875" t="s">
        <v>1434</v>
      </c>
      <c r="V1169" s="875" t="s">
        <v>1429</v>
      </c>
      <c r="W1169" s="895">
        <f t="shared" si="2"/>
        <v>0</v>
      </c>
      <c r="X1169" s="895" t="e">
        <f t="shared" si="3"/>
        <v>#DIV/0!</v>
      </c>
    </row>
    <row r="1170" spans="15:50">
      <c r="O1170" s="988" t="s">
        <v>1417</v>
      </c>
      <c r="P1170" s="895">
        <f>Lead!K21</f>
        <v>0</v>
      </c>
      <c r="R1170" s="895">
        <f>Lead!M21</f>
        <v>8</v>
      </c>
      <c r="S1170" s="875" t="s">
        <v>1684</v>
      </c>
      <c r="T1170" s="875" t="s">
        <v>821</v>
      </c>
      <c r="U1170" s="875" t="s">
        <v>1433</v>
      </c>
      <c r="V1170" s="1096"/>
      <c r="W1170" s="895">
        <f t="shared" si="2"/>
        <v>0</v>
      </c>
      <c r="X1170" s="895" t="e">
        <f t="shared" si="3"/>
        <v>#DIV/0!</v>
      </c>
    </row>
    <row r="1171" spans="15:50">
      <c r="O1171" s="988" t="s">
        <v>1418</v>
      </c>
      <c r="P1171" s="895">
        <f>Lead!K22</f>
        <v>0</v>
      </c>
      <c r="R1171" s="895">
        <f>Lead!M22</f>
        <v>24</v>
      </c>
      <c r="S1171" s="875" t="s">
        <v>1419</v>
      </c>
      <c r="T1171" s="875" t="s">
        <v>1421</v>
      </c>
      <c r="U1171" s="875" t="s">
        <v>1430</v>
      </c>
      <c r="W1171" s="895">
        <f>SUM(W1163:W1170)</f>
        <v>0</v>
      </c>
      <c r="X1171" s="895" t="e">
        <f>SUM(X1163:X1170)</f>
        <v>#DIV/0!</v>
      </c>
    </row>
    <row r="1172" spans="15:50">
      <c r="O1172" s="988" t="s">
        <v>1409</v>
      </c>
      <c r="P1172" s="895">
        <f>Lead!K13</f>
        <v>0</v>
      </c>
      <c r="R1172" s="895">
        <f>Lead!M13</f>
        <v>5</v>
      </c>
      <c r="S1172" s="875" t="s">
        <v>1419</v>
      </c>
      <c r="T1172" s="875" t="s">
        <v>1427</v>
      </c>
      <c r="U1172" s="875" t="s">
        <v>1432</v>
      </c>
    </row>
    <row r="1173" spans="15:50">
      <c r="O1173" s="1097" t="s">
        <v>988</v>
      </c>
      <c r="P1173" s="895">
        <f>Lead!K4</f>
        <v>0</v>
      </c>
      <c r="R1173" s="895">
        <f>Lead!M4</f>
        <v>21083</v>
      </c>
      <c r="S1173" s="875" t="s">
        <v>1419</v>
      </c>
      <c r="T1173" s="875" t="s">
        <v>1427</v>
      </c>
      <c r="U1173" s="875" t="s">
        <v>1432</v>
      </c>
      <c r="Z1173" s="863">
        <f>SUM(P1173:P1174)</f>
        <v>0</v>
      </c>
      <c r="AA1173" s="863">
        <f>SUM(R1173:R1174)</f>
        <v>21093</v>
      </c>
    </row>
    <row r="1174" spans="15:50">
      <c r="O1174" s="1097" t="s">
        <v>991</v>
      </c>
      <c r="P1174" s="895">
        <f>Lead!K5</f>
        <v>0</v>
      </c>
      <c r="R1174" s="895">
        <f>Lead!M5</f>
        <v>10</v>
      </c>
      <c r="S1174" s="875" t="s">
        <v>1420</v>
      </c>
      <c r="T1174" s="875" t="s">
        <v>1428</v>
      </c>
      <c r="U1174" s="875" t="s">
        <v>989</v>
      </c>
      <c r="Z1174" s="1098" t="e">
        <f>Z1173/P$1191</f>
        <v>#DIV/0!</v>
      </c>
      <c r="AA1174" s="1098">
        <f>AA1173/R$1191</f>
        <v>3.2829929664603352E-2</v>
      </c>
    </row>
    <row r="1175" spans="15:50">
      <c r="O1175" s="1099" t="s">
        <v>992</v>
      </c>
      <c r="P1175" s="1058">
        <f>Lead!K11</f>
        <v>0</v>
      </c>
      <c r="R1175" s="895">
        <f>Lead!M11</f>
        <v>22</v>
      </c>
      <c r="S1175" s="875" t="s">
        <v>1419</v>
      </c>
      <c r="T1175" s="875" t="s">
        <v>1421</v>
      </c>
      <c r="U1175" s="875" t="s">
        <v>1430</v>
      </c>
      <c r="Z1175" s="863">
        <f>SUM(P1175:P1181)</f>
        <v>0</v>
      </c>
      <c r="AA1175" s="863">
        <f>SUM(R1175:R1181)</f>
        <v>81343</v>
      </c>
    </row>
    <row r="1176" spans="15:50">
      <c r="O1176" s="1099" t="s">
        <v>1407</v>
      </c>
      <c r="P1176" s="1058">
        <f>Lead!K3</f>
        <v>0</v>
      </c>
      <c r="R1176" s="895">
        <f>Lead!M3</f>
        <v>63374</v>
      </c>
      <c r="S1176" s="1096" t="s">
        <v>1419</v>
      </c>
      <c r="T1176" s="875" t="s">
        <v>1421</v>
      </c>
      <c r="U1176" s="875" t="s">
        <v>1430</v>
      </c>
      <c r="Z1176" s="1098" t="e">
        <f>Z1175/$P$1191</f>
        <v>#DIV/0!</v>
      </c>
      <c r="AA1176" s="1098">
        <f>AA1175/R$1191</f>
        <v>0.12660527040761532</v>
      </c>
    </row>
    <row r="1177" spans="15:50">
      <c r="O1177" s="1099"/>
      <c r="P1177" s="1058"/>
      <c r="R1177" s="895"/>
      <c r="Z1177" s="1098"/>
      <c r="AA1177" s="1098"/>
    </row>
    <row r="1178" spans="15:50">
      <c r="O1178" s="1099"/>
      <c r="P1178" s="1058"/>
      <c r="R1178" s="895"/>
      <c r="Z1178" s="1098"/>
      <c r="AA1178" s="1098"/>
    </row>
    <row r="1179" spans="15:50">
      <c r="O1179" s="1099"/>
      <c r="P1179" s="1058"/>
      <c r="R1179" s="895"/>
      <c r="Z1179" s="1098"/>
      <c r="AA1179" s="1098"/>
    </row>
    <row r="1180" spans="15:50">
      <c r="O1180" s="1100" t="s">
        <v>995</v>
      </c>
      <c r="P1180" s="1095">
        <f>Lead!K7</f>
        <v>0</v>
      </c>
      <c r="Q1180" s="870"/>
      <c r="R1180" s="1095">
        <f>Lead!M7</f>
        <v>2442</v>
      </c>
      <c r="S1180" s="1096" t="s">
        <v>1419</v>
      </c>
      <c r="T1180" s="1096" t="s">
        <v>1427</v>
      </c>
      <c r="U1180" s="1096" t="s">
        <v>1432</v>
      </c>
      <c r="V1180" s="870"/>
      <c r="W1180" s="870"/>
      <c r="X1180" s="870"/>
      <c r="Y1180" s="870"/>
      <c r="Z1180" s="1101"/>
      <c r="AA1180" s="1101"/>
      <c r="AB1180" s="870"/>
      <c r="AC1180" s="870"/>
      <c r="AD1180" s="870"/>
      <c r="AE1180" s="870"/>
      <c r="AF1180" s="870"/>
      <c r="AG1180" s="870"/>
      <c r="AH1180" s="870"/>
      <c r="AI1180" s="870"/>
      <c r="AJ1180" s="870"/>
      <c r="AK1180" s="870"/>
      <c r="AL1180" s="870"/>
      <c r="AM1180" s="870"/>
      <c r="AN1180" s="870"/>
      <c r="AO1180" s="870"/>
      <c r="AP1180" s="870"/>
      <c r="AQ1180" s="870"/>
      <c r="AR1180" s="870"/>
      <c r="AS1180" s="870"/>
      <c r="AT1180" s="870"/>
      <c r="AU1180" s="870"/>
      <c r="AV1180" s="870"/>
      <c r="AW1180" s="870"/>
      <c r="AX1180" s="870"/>
    </row>
    <row r="1181" spans="15:50">
      <c r="O1181" s="1097" t="s">
        <v>1408</v>
      </c>
      <c r="P1181" s="895">
        <f>Lead!K6</f>
        <v>0</v>
      </c>
      <c r="Q1181" s="1008"/>
      <c r="R1181" s="895">
        <f>Lead!M6</f>
        <v>15505</v>
      </c>
      <c r="S1181" s="875" t="s">
        <v>1419</v>
      </c>
      <c r="T1181" s="1096" t="s">
        <v>1427</v>
      </c>
      <c r="U1181" s="875" t="s">
        <v>1432</v>
      </c>
      <c r="V1181" s="1008"/>
      <c r="W1181" s="1008"/>
      <c r="X1181" s="1008"/>
      <c r="Y1181" s="1008"/>
      <c r="Z1181" s="863"/>
      <c r="AA1181" s="863"/>
      <c r="AB1181" s="1008"/>
      <c r="AC1181" s="1008"/>
      <c r="AD1181" s="1008"/>
      <c r="AE1181" s="1008"/>
      <c r="AF1181" s="1008"/>
      <c r="AG1181" s="1008"/>
      <c r="AH1181" s="1008"/>
      <c r="AI1181" s="1008"/>
      <c r="AJ1181" s="1008"/>
      <c r="AK1181" s="1008"/>
      <c r="AL1181" s="1008"/>
      <c r="AM1181" s="1008"/>
      <c r="AN1181" s="1008"/>
      <c r="AO1181" s="1008"/>
      <c r="AP1181" s="1008"/>
      <c r="AQ1181" s="1008"/>
      <c r="AR1181" s="1008"/>
      <c r="AS1181" s="1008"/>
      <c r="AT1181" s="1008"/>
      <c r="AU1181" s="1008"/>
      <c r="AV1181" s="1008"/>
      <c r="AW1181" s="1008"/>
      <c r="AX1181" s="1008"/>
    </row>
    <row r="1182" spans="15:50">
      <c r="O1182" s="1097" t="s">
        <v>997</v>
      </c>
      <c r="P1182" s="895">
        <f>Lead!K8</f>
        <v>0</v>
      </c>
      <c r="Q1182" s="1008"/>
      <c r="R1182" s="895">
        <f>Lead!M8</f>
        <v>34</v>
      </c>
      <c r="S1182" s="875" t="s">
        <v>1419</v>
      </c>
      <c r="T1182" s="875" t="s">
        <v>1421</v>
      </c>
      <c r="U1182" s="875" t="s">
        <v>1430</v>
      </c>
      <c r="V1182" s="1008"/>
      <c r="W1182" s="1008"/>
      <c r="X1182" s="1008"/>
      <c r="Y1182" s="1008"/>
      <c r="Z1182" s="863">
        <f>SUM(P1182:P1184)</f>
        <v>0</v>
      </c>
      <c r="AA1182" s="863">
        <f>SUM(R1182:R1184)</f>
        <v>148</v>
      </c>
      <c r="AB1182" s="1008"/>
      <c r="AC1182" s="1008"/>
      <c r="AD1182" s="1008"/>
      <c r="AE1182" s="1008"/>
      <c r="AF1182" s="1008"/>
      <c r="AG1182" s="1008"/>
      <c r="AH1182" s="1008"/>
      <c r="AI1182" s="1008"/>
      <c r="AJ1182" s="1008"/>
      <c r="AK1182" s="1008"/>
      <c r="AL1182" s="1008"/>
      <c r="AM1182" s="1008"/>
      <c r="AN1182" s="1008"/>
      <c r="AO1182" s="1008"/>
      <c r="AP1182" s="1008"/>
      <c r="AQ1182" s="1008"/>
      <c r="AR1182" s="1008"/>
      <c r="AS1182" s="1008"/>
      <c r="AT1182" s="1008"/>
      <c r="AU1182" s="1008"/>
      <c r="AV1182" s="1008"/>
      <c r="AW1182" s="1008"/>
      <c r="AX1182" s="1008"/>
    </row>
    <row r="1183" spans="15:50">
      <c r="O1183" s="1099" t="s">
        <v>997</v>
      </c>
      <c r="P1183" s="895">
        <f>Lead!K9</f>
        <v>0</v>
      </c>
      <c r="Q1183" s="1008"/>
      <c r="R1183" s="895">
        <f>Lead!M9</f>
        <v>11</v>
      </c>
      <c r="S1183" s="875" t="s">
        <v>1419</v>
      </c>
      <c r="T1183" s="875" t="s">
        <v>1421</v>
      </c>
      <c r="U1183" s="875" t="s">
        <v>1430</v>
      </c>
      <c r="V1183" s="1008"/>
      <c r="W1183" s="1008"/>
      <c r="X1183" s="1008"/>
      <c r="Y1183" s="1008"/>
      <c r="Z1183" s="1098" t="e">
        <f>Z1182/$P$1191</f>
        <v>#DIV/0!</v>
      </c>
      <c r="AA1183" s="1098">
        <f>AA1182/R$1191</f>
        <v>2.3035270423179708E-4</v>
      </c>
      <c r="AB1183" s="1008"/>
      <c r="AC1183" s="1008"/>
      <c r="AD1183" s="1008"/>
      <c r="AE1183" s="1008"/>
      <c r="AF1183" s="1008"/>
      <c r="AG1183" s="1008"/>
      <c r="AH1183" s="1008"/>
      <c r="AI1183" s="1008"/>
      <c r="AJ1183" s="1008"/>
      <c r="AK1183" s="1008"/>
      <c r="AL1183" s="1008"/>
      <c r="AM1183" s="1008"/>
      <c r="AN1183" s="1008"/>
      <c r="AO1183" s="1008"/>
      <c r="AP1183" s="1008"/>
      <c r="AQ1183" s="1008"/>
      <c r="AR1183" s="1008"/>
      <c r="AS1183" s="1008"/>
      <c r="AT1183" s="1008"/>
      <c r="AU1183" s="1008"/>
      <c r="AV1183" s="1008"/>
      <c r="AW1183" s="1008"/>
      <c r="AX1183" s="1008"/>
    </row>
    <row r="1184" spans="15:50">
      <c r="O1184" s="1099" t="s">
        <v>999</v>
      </c>
      <c r="P1184" s="1058">
        <f>Lead!K12</f>
        <v>0</v>
      </c>
      <c r="Q1184" s="1008"/>
      <c r="R1184" s="895">
        <f>Lead!M12</f>
        <v>103</v>
      </c>
      <c r="S1184" s="875" t="s">
        <v>1419</v>
      </c>
      <c r="T1184" s="875" t="s">
        <v>1421</v>
      </c>
      <c r="U1184" s="875" t="s">
        <v>1430</v>
      </c>
      <c r="V1184" s="1008"/>
      <c r="W1184" s="1008"/>
      <c r="X1184" s="1008"/>
      <c r="Y1184" s="1008"/>
      <c r="Z1184" s="863"/>
      <c r="AA1184" s="863"/>
      <c r="AB1184" s="1008"/>
      <c r="AC1184" s="1008"/>
      <c r="AD1184" s="1008"/>
      <c r="AE1184" s="1008"/>
      <c r="AF1184" s="1008"/>
      <c r="AG1184" s="1008"/>
      <c r="AH1184" s="1008"/>
      <c r="AI1184" s="1008"/>
      <c r="AJ1184" s="1008"/>
      <c r="AK1184" s="1008"/>
      <c r="AL1184" s="1008"/>
      <c r="AM1184" s="1008"/>
      <c r="AN1184" s="1008"/>
      <c r="AO1184" s="1008"/>
      <c r="AP1184" s="1008"/>
      <c r="AQ1184" s="1008"/>
      <c r="AR1184" s="1008"/>
      <c r="AS1184" s="1008"/>
      <c r="AT1184" s="1008"/>
      <c r="AU1184" s="1008"/>
      <c r="AV1184" s="1008"/>
      <c r="AW1184" s="1008"/>
      <c r="AX1184" s="1008"/>
    </row>
    <row r="1185" spans="15:50">
      <c r="O1185" s="1099" t="s">
        <v>1000</v>
      </c>
      <c r="P1185" s="1058">
        <f>Lead!K10</f>
        <v>0</v>
      </c>
      <c r="Q1185" s="1008"/>
      <c r="R1185" s="895">
        <f>Lead!M10</f>
        <v>12</v>
      </c>
      <c r="S1185" s="861" t="s">
        <v>1419</v>
      </c>
      <c r="T1185" s="861" t="s">
        <v>1422</v>
      </c>
      <c r="U1185" s="875" t="s">
        <v>1431</v>
      </c>
      <c r="V1185" s="1008"/>
      <c r="W1185" s="1008"/>
      <c r="X1185" s="1008"/>
      <c r="Y1185" s="1008"/>
      <c r="Z1185" s="863">
        <f>P1185</f>
        <v>0</v>
      </c>
      <c r="AA1185" s="863">
        <f>R1185</f>
        <v>12</v>
      </c>
      <c r="AB1185" s="1008"/>
      <c r="AC1185" s="1008"/>
      <c r="AD1185" s="1008"/>
      <c r="AE1185" s="1008"/>
      <c r="AF1185" s="1008"/>
      <c r="AG1185" s="1008"/>
      <c r="AH1185" s="1008"/>
      <c r="AI1185" s="1008"/>
      <c r="AJ1185" s="1008"/>
      <c r="AK1185" s="1008"/>
      <c r="AL1185" s="1008"/>
      <c r="AM1185" s="1008"/>
      <c r="AN1185" s="1008"/>
      <c r="AO1185" s="1008"/>
      <c r="AP1185" s="1008"/>
      <c r="AQ1185" s="1008"/>
      <c r="AR1185" s="1008"/>
      <c r="AS1185" s="1008"/>
      <c r="AT1185" s="1008"/>
      <c r="AU1185" s="1008"/>
      <c r="AV1185" s="1008"/>
      <c r="AW1185" s="1008"/>
      <c r="AX1185" s="1008"/>
    </row>
    <row r="1186" spans="15:50">
      <c r="O1186" s="1008"/>
      <c r="Q1186" s="1008"/>
      <c r="S1186" s="1008"/>
      <c r="T1186" s="1008"/>
      <c r="U1186" s="1008"/>
      <c r="V1186" s="1008"/>
      <c r="W1186" s="1008"/>
      <c r="X1186" s="1008"/>
      <c r="Y1186" s="1008"/>
      <c r="Z1186" s="1098" t="e">
        <f>Z1185/$P$1191</f>
        <v>#DIV/0!</v>
      </c>
      <c r="AA1186" s="1098">
        <f>AA1185/R$1191</f>
        <v>1.8677246289064627E-5</v>
      </c>
      <c r="AB1186" s="1008"/>
      <c r="AC1186" s="1008"/>
      <c r="AD1186" s="1008"/>
      <c r="AE1186" s="1008"/>
      <c r="AF1186" s="1008"/>
      <c r="AG1186" s="1008"/>
      <c r="AH1186" s="1008"/>
      <c r="AI1186" s="1008"/>
      <c r="AJ1186" s="1008"/>
      <c r="AK1186" s="1008"/>
      <c r="AL1186" s="1008"/>
      <c r="AM1186" s="1008"/>
      <c r="AN1186" s="1008"/>
      <c r="AO1186" s="1008"/>
      <c r="AP1186" s="1008"/>
      <c r="AQ1186" s="1008"/>
      <c r="AR1186" s="1008"/>
      <c r="AS1186" s="1008"/>
      <c r="AT1186" s="1008"/>
      <c r="AU1186" s="1008"/>
      <c r="AV1186" s="1008"/>
      <c r="AW1186" s="1008"/>
      <c r="AX1186" s="1008"/>
    </row>
    <row r="1187" spans="15:50">
      <c r="O1187" s="988"/>
      <c r="P1187" s="1008"/>
      <c r="Q1187" s="1102"/>
      <c r="R1187" s="1103"/>
      <c r="S1187" s="1102"/>
      <c r="T1187" s="1102"/>
      <c r="U1187" s="1008"/>
      <c r="V1187" s="1008"/>
      <c r="W1187" s="1008"/>
      <c r="X1187" s="1008"/>
      <c r="Y1187" s="1008"/>
      <c r="Z1187" s="1008"/>
      <c r="AA1187" s="1008"/>
      <c r="AB1187" s="1008"/>
      <c r="AC1187" s="1008"/>
      <c r="AD1187" s="1008"/>
      <c r="AE1187" s="1008"/>
      <c r="AF1187" s="1008"/>
      <c r="AG1187" s="1008"/>
      <c r="AH1187" s="1008"/>
      <c r="AI1187" s="1008"/>
      <c r="AJ1187" s="1008"/>
      <c r="AK1187" s="1008"/>
      <c r="AL1187" s="1008"/>
      <c r="AM1187" s="1008"/>
      <c r="AN1187" s="1008"/>
      <c r="AO1187" s="1008"/>
      <c r="AP1187" s="1008"/>
      <c r="AQ1187" s="1008"/>
      <c r="AR1187" s="1008"/>
      <c r="AS1187" s="1008"/>
      <c r="AT1187" s="1008"/>
      <c r="AU1187" s="1008"/>
      <c r="AV1187" s="1008"/>
      <c r="AW1187" s="1008"/>
      <c r="AX1187" s="1008"/>
    </row>
    <row r="1188" spans="15:50">
      <c r="O1188" s="1104" t="s">
        <v>1539</v>
      </c>
      <c r="P1188" s="1024">
        <f>Lead!K23</f>
        <v>0</v>
      </c>
      <c r="Q1188" s="1102"/>
      <c r="R1188" s="1103"/>
      <c r="S1188" s="875" t="s">
        <v>1684</v>
      </c>
      <c r="T1188" s="875" t="s">
        <v>1426</v>
      </c>
      <c r="U1188" s="875" t="s">
        <v>1434</v>
      </c>
      <c r="V1188" s="1008"/>
      <c r="W1188" s="1008"/>
      <c r="X1188" s="1008"/>
      <c r="Y1188" s="1008"/>
      <c r="Z1188" s="1008"/>
      <c r="AA1188" s="1008"/>
      <c r="AB1188" s="1008"/>
      <c r="AC1188" s="1008"/>
      <c r="AD1188" s="1008"/>
      <c r="AE1188" s="1008"/>
      <c r="AF1188" s="1008"/>
      <c r="AG1188" s="1008"/>
      <c r="AH1188" s="1008"/>
      <c r="AI1188" s="1008"/>
      <c r="AJ1188" s="1008"/>
      <c r="AK1188" s="1008"/>
      <c r="AL1188" s="1008"/>
      <c r="AM1188" s="1008"/>
      <c r="AN1188" s="1008"/>
      <c r="AO1188" s="1008"/>
      <c r="AP1188" s="1008"/>
      <c r="AQ1188" s="1008"/>
      <c r="AR1188" s="1008"/>
      <c r="AS1188" s="1008"/>
      <c r="AT1188" s="1008"/>
      <c r="AU1188" s="1008"/>
      <c r="AV1188" s="1008"/>
      <c r="AW1188" s="1008"/>
      <c r="AX1188" s="1008"/>
    </row>
    <row r="1189" spans="15:50">
      <c r="O1189" s="1105" t="s">
        <v>1542</v>
      </c>
      <c r="P1189" s="1024">
        <f>Lead!K24</f>
        <v>0</v>
      </c>
      <c r="Q1189" s="1102"/>
      <c r="R1189" s="1103"/>
      <c r="S1189" s="875" t="s">
        <v>1419</v>
      </c>
      <c r="T1189" s="875" t="s">
        <v>1421</v>
      </c>
      <c r="U1189" s="875" t="s">
        <v>1430</v>
      </c>
      <c r="V1189" s="1008"/>
      <c r="W1189" s="1008"/>
      <c r="X1189" s="1008"/>
      <c r="Y1189" s="1008"/>
      <c r="Z1189" s="1008"/>
      <c r="AA1189" s="1008"/>
      <c r="AB1189" s="1008"/>
      <c r="AC1189" s="1008"/>
      <c r="AD1189" s="1008"/>
      <c r="AE1189" s="1008"/>
      <c r="AF1189" s="1008"/>
      <c r="AG1189" s="1008"/>
      <c r="AH1189" s="1008"/>
      <c r="AI1189" s="1008"/>
      <c r="AJ1189" s="1008"/>
      <c r="AK1189" s="1008"/>
      <c r="AL1189" s="1008"/>
      <c r="AM1189" s="1008"/>
      <c r="AN1189" s="1008"/>
      <c r="AO1189" s="1008"/>
      <c r="AP1189" s="1008"/>
      <c r="AQ1189" s="1008"/>
      <c r="AR1189" s="1008"/>
      <c r="AS1189" s="1008"/>
      <c r="AT1189" s="1008"/>
      <c r="AU1189" s="1008"/>
      <c r="AV1189" s="1008"/>
      <c r="AW1189" s="1008"/>
      <c r="AX1189" s="1008"/>
    </row>
    <row r="1190" spans="15:50">
      <c r="O1190" s="1105" t="s">
        <v>1545</v>
      </c>
      <c r="P1190" s="1024">
        <f>Lead!K25</f>
        <v>0</v>
      </c>
      <c r="Q1190" s="1102"/>
      <c r="R1190" s="1103"/>
      <c r="S1190" s="875" t="s">
        <v>1424</v>
      </c>
      <c r="T1190" s="875" t="s">
        <v>1425</v>
      </c>
      <c r="U1190" s="875" t="s">
        <v>1429</v>
      </c>
      <c r="V1190" s="1008"/>
      <c r="W1190" s="1008"/>
      <c r="X1190" s="1008"/>
      <c r="Y1190" s="1008"/>
      <c r="Z1190" s="1008"/>
      <c r="AA1190" s="1008"/>
      <c r="AB1190" s="1008"/>
      <c r="AC1190" s="1008"/>
      <c r="AD1190" s="1008"/>
      <c r="AE1190" s="1008"/>
      <c r="AF1190" s="1008"/>
      <c r="AG1190" s="1008"/>
      <c r="AH1190" s="1008"/>
      <c r="AI1190" s="1008"/>
      <c r="AJ1190" s="1008"/>
      <c r="AK1190" s="1008"/>
      <c r="AL1190" s="1008"/>
      <c r="AM1190" s="1008"/>
      <c r="AN1190" s="1008"/>
      <c r="AO1190" s="1008"/>
      <c r="AP1190" s="1008"/>
      <c r="AQ1190" s="1008"/>
      <c r="AR1190" s="1008"/>
      <c r="AS1190" s="1008"/>
      <c r="AT1190" s="1008"/>
      <c r="AU1190" s="1008"/>
      <c r="AV1190" s="1008"/>
      <c r="AW1190" s="1008"/>
      <c r="AX1190" s="1008"/>
    </row>
    <row r="1191" spans="15:50">
      <c r="O1191" s="989"/>
      <c r="P1191" s="1058">
        <f>SUM(P1163:P1190)</f>
        <v>0</v>
      </c>
      <c r="Q1191" s="1102"/>
      <c r="R1191" s="1058">
        <f>SUM(R1163:R1190)</f>
        <v>642493</v>
      </c>
      <c r="S1191" s="1102"/>
      <c r="T1191" s="1102"/>
      <c r="U1191" s="1008"/>
      <c r="V1191" s="1008"/>
      <c r="W1191" s="1008"/>
      <c r="X1191" s="1008"/>
      <c r="Y1191" s="1008"/>
      <c r="Z1191" s="1008"/>
      <c r="AA1191" s="1008"/>
      <c r="AB1191" s="1008"/>
      <c r="AC1191" s="1008"/>
      <c r="AD1191" s="1008"/>
      <c r="AE1191" s="1008"/>
      <c r="AF1191" s="1008"/>
      <c r="AG1191" s="1008"/>
      <c r="AH1191" s="1008"/>
      <c r="AI1191" s="1008"/>
      <c r="AJ1191" s="1008"/>
      <c r="AK1191" s="1008"/>
      <c r="AL1191" s="1008"/>
      <c r="AM1191" s="1008"/>
      <c r="AN1191" s="1008"/>
      <c r="AO1191" s="1008"/>
      <c r="AP1191" s="1008"/>
      <c r="AQ1191" s="1008"/>
      <c r="AR1191" s="1008"/>
      <c r="AS1191" s="1008"/>
      <c r="AT1191" s="1008"/>
      <c r="AU1191" s="1008"/>
      <c r="AV1191" s="1008"/>
      <c r="AW1191" s="1008"/>
      <c r="AX1191" s="1008"/>
    </row>
    <row r="1192" spans="15:50">
      <c r="O1192" s="989"/>
      <c r="P1192" s="1008"/>
      <c r="Q1192" s="1102"/>
      <c r="R1192" s="1103"/>
      <c r="S1192" s="1102"/>
      <c r="T1192" s="1102"/>
      <c r="U1192" s="1008"/>
      <c r="V1192" s="1008"/>
      <c r="W1192" s="1008"/>
      <c r="X1192" s="1008"/>
      <c r="Y1192" s="1008"/>
      <c r="Z1192" s="1008"/>
      <c r="AA1192" s="1008"/>
      <c r="AB1192" s="1008"/>
      <c r="AC1192" s="1008"/>
      <c r="AD1192" s="1008"/>
      <c r="AE1192" s="1008"/>
      <c r="AF1192" s="1008"/>
      <c r="AG1192" s="1008"/>
      <c r="AH1192" s="1008"/>
      <c r="AI1192" s="1008"/>
      <c r="AJ1192" s="1008"/>
      <c r="AK1192" s="1008"/>
      <c r="AL1192" s="1008"/>
      <c r="AM1192" s="1008"/>
      <c r="AN1192" s="1008"/>
      <c r="AO1192" s="1008"/>
      <c r="AP1192" s="1008"/>
      <c r="AQ1192" s="1008"/>
      <c r="AR1192" s="1008"/>
      <c r="AS1192" s="1008"/>
      <c r="AT1192" s="1008"/>
      <c r="AU1192" s="1008"/>
      <c r="AV1192" s="1008"/>
      <c r="AW1192" s="1008"/>
      <c r="AX1192" s="1008"/>
    </row>
    <row r="1193" spans="15:50">
      <c r="O1193" s="989"/>
      <c r="P1193" s="1008"/>
      <c r="Q1193" s="1102"/>
      <c r="R1193" s="1103"/>
      <c r="S1193" s="1102"/>
      <c r="T1193" s="1102"/>
      <c r="U1193" s="1008"/>
      <c r="V1193" s="1008"/>
      <c r="W1193" s="1008"/>
      <c r="X1193" s="1008"/>
      <c r="Y1193" s="1008"/>
      <c r="Z1193" s="1008"/>
      <c r="AA1193" s="1008"/>
      <c r="AB1193" s="1008"/>
      <c r="AC1193" s="1008"/>
      <c r="AD1193" s="1008"/>
      <c r="AE1193" s="1008"/>
      <c r="AF1193" s="1008"/>
      <c r="AG1193" s="1008"/>
      <c r="AH1193" s="1008"/>
      <c r="AI1193" s="1008"/>
      <c r="AJ1193" s="1008"/>
      <c r="AK1193" s="1008"/>
      <c r="AL1193" s="1008"/>
      <c r="AM1193" s="1008"/>
      <c r="AN1193" s="1008"/>
      <c r="AO1193" s="1008"/>
      <c r="AP1193" s="1008"/>
      <c r="AQ1193" s="1008"/>
      <c r="AR1193" s="1008"/>
      <c r="AS1193" s="1008"/>
      <c r="AT1193" s="1008"/>
      <c r="AU1193" s="1008"/>
      <c r="AV1193" s="1008"/>
      <c r="AW1193" s="1008"/>
      <c r="AX1193" s="1008"/>
    </row>
    <row r="1194" spans="15:50">
      <c r="O1194" s="989"/>
      <c r="P1194" s="1008"/>
      <c r="Q1194" s="1102"/>
      <c r="R1194" s="1103"/>
      <c r="S1194" s="1102"/>
      <c r="T1194" s="1102"/>
      <c r="U1194" s="1008"/>
      <c r="V1194" s="1008"/>
      <c r="W1194" s="1008"/>
      <c r="X1194" s="1008"/>
      <c r="Y1194" s="1008"/>
      <c r="Z1194" s="1008"/>
      <c r="AA1194" s="1008"/>
      <c r="AB1194" s="1008"/>
      <c r="AC1194" s="1008"/>
      <c r="AD1194" s="1008"/>
      <c r="AE1194" s="1008"/>
      <c r="AF1194" s="1008"/>
      <c r="AG1194" s="1008"/>
      <c r="AH1194" s="1008"/>
      <c r="AI1194" s="1008"/>
      <c r="AJ1194" s="1008"/>
      <c r="AK1194" s="1008"/>
      <c r="AL1194" s="1008"/>
      <c r="AM1194" s="1008"/>
      <c r="AN1194" s="1008"/>
      <c r="AO1194" s="1008"/>
      <c r="AP1194" s="1008"/>
      <c r="AQ1194" s="1008"/>
      <c r="AR1194" s="1008"/>
      <c r="AS1194" s="1008"/>
      <c r="AT1194" s="1008"/>
      <c r="AU1194" s="1008"/>
      <c r="AV1194" s="1008"/>
      <c r="AW1194" s="1008"/>
      <c r="AX1194" s="1008"/>
    </row>
    <row r="1195" spans="15:50">
      <c r="O1195" s="989"/>
      <c r="P1195" s="1008"/>
      <c r="Q1195" s="1102"/>
      <c r="R1195" s="1103"/>
      <c r="S1195" s="1102"/>
      <c r="T1195" s="1102"/>
      <c r="U1195" s="1008"/>
      <c r="V1195" s="1008"/>
      <c r="W1195" s="1008"/>
      <c r="X1195" s="1008"/>
      <c r="Y1195" s="1008"/>
      <c r="Z1195" s="1008"/>
      <c r="AA1195" s="1008"/>
      <c r="AB1195" s="1008"/>
      <c r="AC1195" s="1008"/>
      <c r="AD1195" s="1008"/>
      <c r="AE1195" s="1008"/>
      <c r="AF1195" s="1008"/>
      <c r="AG1195" s="1008"/>
      <c r="AH1195" s="1008"/>
      <c r="AI1195" s="1008"/>
      <c r="AJ1195" s="1008"/>
      <c r="AK1195" s="1008"/>
      <c r="AL1195" s="1008"/>
      <c r="AM1195" s="1008"/>
      <c r="AN1195" s="1008"/>
      <c r="AO1195" s="1008"/>
      <c r="AP1195" s="1008"/>
      <c r="AQ1195" s="1008"/>
      <c r="AR1195" s="1008"/>
      <c r="AS1195" s="1008"/>
      <c r="AT1195" s="1008"/>
      <c r="AU1195" s="1008"/>
      <c r="AV1195" s="1008"/>
      <c r="AW1195" s="1008"/>
      <c r="AX1195" s="1008"/>
    </row>
    <row r="1196" spans="15:50">
      <c r="O1196" s="989"/>
      <c r="P1196" s="1008"/>
      <c r="Q1196" s="1102"/>
      <c r="R1196" s="1103"/>
      <c r="S1196" s="1102"/>
      <c r="T1196" s="1102"/>
      <c r="U1196" s="1008"/>
      <c r="V1196" s="1008"/>
      <c r="W1196" s="1008"/>
      <c r="X1196" s="1008"/>
      <c r="Y1196" s="1008"/>
      <c r="Z1196" s="1008"/>
      <c r="AA1196" s="1008"/>
      <c r="AB1196" s="1008"/>
      <c r="AC1196" s="1008"/>
      <c r="AD1196" s="1008"/>
      <c r="AE1196" s="1008"/>
      <c r="AF1196" s="1008"/>
      <c r="AG1196" s="1008"/>
      <c r="AH1196" s="1008"/>
      <c r="AI1196" s="1008"/>
      <c r="AJ1196" s="1008"/>
      <c r="AK1196" s="1008"/>
      <c r="AL1196" s="1008"/>
      <c r="AM1196" s="1008"/>
      <c r="AN1196" s="1008"/>
      <c r="AO1196" s="1008"/>
      <c r="AP1196" s="1008"/>
      <c r="AQ1196" s="1008"/>
      <c r="AR1196" s="1008"/>
      <c r="AS1196" s="1008"/>
      <c r="AT1196" s="1008"/>
      <c r="AU1196" s="1008"/>
      <c r="AV1196" s="1008"/>
      <c r="AW1196" s="1008"/>
      <c r="AX1196" s="1008"/>
    </row>
    <row r="1197" spans="15:50">
      <c r="O1197" s="989"/>
      <c r="P1197" s="1008"/>
      <c r="Q1197" s="1102"/>
      <c r="R1197" s="1103"/>
      <c r="S1197" s="1102"/>
      <c r="T1197" s="1102"/>
      <c r="U1197" s="1008"/>
      <c r="V1197" s="1008"/>
      <c r="W1197" s="1008"/>
      <c r="X1197" s="1008"/>
      <c r="Y1197" s="1008"/>
      <c r="Z1197" s="1008"/>
      <c r="AA1197" s="1008"/>
      <c r="AB1197" s="1008"/>
      <c r="AC1197" s="1008"/>
      <c r="AD1197" s="1008"/>
      <c r="AE1197" s="1008"/>
      <c r="AF1197" s="1008"/>
      <c r="AG1197" s="1008"/>
      <c r="AH1197" s="1008"/>
      <c r="AI1197" s="1008"/>
      <c r="AJ1197" s="1008"/>
      <c r="AK1197" s="1008"/>
      <c r="AL1197" s="1008"/>
      <c r="AM1197" s="1008"/>
      <c r="AN1197" s="1008"/>
      <c r="AO1197" s="1008"/>
      <c r="AP1197" s="1008"/>
      <c r="AQ1197" s="1008"/>
      <c r="AR1197" s="1008"/>
      <c r="AS1197" s="1008"/>
      <c r="AT1197" s="1008"/>
      <c r="AU1197" s="1008"/>
      <c r="AV1197" s="1008"/>
      <c r="AW1197" s="1008"/>
      <c r="AX1197" s="1008"/>
    </row>
    <row r="1198" spans="15:50">
      <c r="O1198" s="989"/>
      <c r="P1198" s="3178" t="s">
        <v>674</v>
      </c>
      <c r="Q1198" s="3178"/>
      <c r="R1198" s="3178"/>
      <c r="S1198" s="3178"/>
      <c r="T1198" s="1106"/>
      <c r="U1198" s="1008"/>
      <c r="V1198" s="1008"/>
      <c r="W1198" s="1008"/>
      <c r="X1198" s="1008"/>
      <c r="Y1198" s="1008"/>
      <c r="Z1198" s="1008"/>
      <c r="AA1198" s="1008"/>
      <c r="AB1198" s="1008"/>
      <c r="AC1198" s="1008"/>
      <c r="AD1198" s="1008"/>
      <c r="AE1198" s="1008"/>
      <c r="AF1198" s="1008"/>
      <c r="AG1198" s="1008"/>
      <c r="AH1198" s="1008"/>
      <c r="AI1198" s="1008"/>
      <c r="AJ1198" s="1008"/>
      <c r="AK1198" s="1008"/>
      <c r="AL1198" s="1008"/>
      <c r="AM1198" s="1008"/>
      <c r="AN1198" s="1008"/>
      <c r="AO1198" s="1008"/>
      <c r="AP1198" s="1008"/>
      <c r="AQ1198" s="1008"/>
      <c r="AR1198" s="1008"/>
      <c r="AS1198" s="1008"/>
      <c r="AT1198" s="1008"/>
      <c r="AU1198" s="1008"/>
      <c r="AV1198" s="1008"/>
      <c r="AW1198" s="1008"/>
      <c r="AX1198" s="1008"/>
    </row>
    <row r="1199" spans="15:50">
      <c r="O1199" s="1107" t="s">
        <v>1003</v>
      </c>
      <c r="P1199" s="1509" t="s">
        <v>771</v>
      </c>
      <c r="Q1199" s="1108" t="s">
        <v>869</v>
      </c>
      <c r="R1199" s="1509"/>
      <c r="S1199" s="1108"/>
      <c r="T1199" s="1106"/>
      <c r="U1199" s="1008"/>
      <c r="V1199" s="1008"/>
      <c r="W1199" s="1008"/>
      <c r="X1199" s="1008"/>
      <c r="Y1199" s="1008"/>
      <c r="Z1199" s="1008"/>
      <c r="AA1199" s="1008"/>
      <c r="AB1199" s="1008"/>
      <c r="AC1199" s="1008"/>
      <c r="AD1199" s="1008"/>
      <c r="AE1199" s="1008"/>
      <c r="AF1199" s="1008"/>
      <c r="AG1199" s="1008"/>
      <c r="AH1199" s="1008"/>
      <c r="AI1199" s="1008"/>
      <c r="AJ1199" s="1008"/>
      <c r="AK1199" s="1008"/>
      <c r="AL1199" s="1008"/>
      <c r="AM1199" s="1008"/>
      <c r="AN1199" s="1008"/>
      <c r="AO1199" s="1008"/>
      <c r="AP1199" s="1008"/>
      <c r="AQ1199" s="1008"/>
      <c r="AR1199" s="1008"/>
      <c r="AS1199" s="1008"/>
      <c r="AT1199" s="1008"/>
      <c r="AU1199" s="1008"/>
      <c r="AV1199" s="1008"/>
      <c r="AW1199" s="1008"/>
      <c r="AX1199" s="1008"/>
    </row>
    <row r="1200" spans="15:50">
      <c r="O1200" s="988" t="s">
        <v>1435</v>
      </c>
      <c r="P1200" s="1101">
        <f>'1-4.1'!D974+'1-4.1'!D570</f>
        <v>0</v>
      </c>
      <c r="Q1200" s="1101" t="e">
        <f t="shared" ref="Q1200:Q1210" si="4">P1200/$P$1211%</f>
        <v>#REF!</v>
      </c>
      <c r="R1200" s="1101"/>
      <c r="S1200" s="1109"/>
      <c r="T1200" s="1110"/>
      <c r="U1200" s="870"/>
      <c r="V1200" s="870"/>
      <c r="W1200" s="870"/>
      <c r="X1200" s="870"/>
      <c r="Y1200" s="870"/>
      <c r="Z1200" s="870"/>
      <c r="AA1200" s="870"/>
      <c r="AB1200" s="870"/>
      <c r="AC1200" s="870"/>
      <c r="AD1200" s="870"/>
      <c r="AE1200" s="870"/>
      <c r="AF1200" s="870"/>
      <c r="AG1200" s="870"/>
      <c r="AH1200" s="870"/>
      <c r="AI1200" s="870"/>
      <c r="AJ1200" s="870"/>
      <c r="AK1200" s="870"/>
      <c r="AL1200" s="870"/>
      <c r="AM1200" s="870"/>
      <c r="AN1200" s="870"/>
      <c r="AO1200" s="870"/>
      <c r="AP1200" s="870"/>
      <c r="AQ1200" s="870"/>
      <c r="AR1200" s="870"/>
      <c r="AS1200" s="870"/>
      <c r="AT1200" s="870"/>
      <c r="AU1200" s="870"/>
      <c r="AV1200" s="870"/>
      <c r="AW1200" s="870"/>
      <c r="AX1200" s="870"/>
    </row>
    <row r="1201" spans="15:50">
      <c r="O1201" s="1111" t="s">
        <v>994</v>
      </c>
      <c r="P1201" s="1064" t="e">
        <f>'5.2.1'!#REF!</f>
        <v>#REF!</v>
      </c>
      <c r="Q1201" s="1064" t="e">
        <f t="shared" si="4"/>
        <v>#REF!</v>
      </c>
      <c r="R1201" s="1064"/>
      <c r="S1201" s="1112"/>
      <c r="T1201" s="1106" t="s">
        <v>1005</v>
      </c>
      <c r="U1201" s="1008"/>
      <c r="V1201" s="1008"/>
      <c r="W1201" s="1008"/>
      <c r="X1201" s="1008"/>
      <c r="Y1201" s="1008"/>
      <c r="Z1201" s="1008"/>
      <c r="AA1201" s="1008"/>
      <c r="AB1201" s="1008"/>
      <c r="AC1201" s="1008"/>
      <c r="AD1201" s="1008"/>
      <c r="AE1201" s="1008"/>
      <c r="AF1201" s="1008"/>
      <c r="AG1201" s="1008"/>
      <c r="AH1201" s="1008"/>
      <c r="AI1201" s="1008"/>
      <c r="AJ1201" s="1008"/>
      <c r="AK1201" s="1008"/>
      <c r="AL1201" s="1008"/>
      <c r="AM1201" s="1008"/>
      <c r="AN1201" s="1008"/>
      <c r="AO1201" s="1008"/>
      <c r="AP1201" s="1008"/>
      <c r="AQ1201" s="1008"/>
      <c r="AR1201" s="1008"/>
      <c r="AS1201" s="1008"/>
      <c r="AT1201" s="1008"/>
      <c r="AU1201" s="1008"/>
      <c r="AV1201" s="1008"/>
      <c r="AW1201" s="1008"/>
      <c r="AX1201" s="1008"/>
    </row>
    <row r="1202" spans="15:50">
      <c r="O1202" s="988" t="s">
        <v>1071</v>
      </c>
      <c r="P1202" s="1064">
        <f>'5.3.1'!I16</f>
        <v>55999.02</v>
      </c>
      <c r="Q1202" s="1064" t="e">
        <f t="shared" si="4"/>
        <v>#REF!</v>
      </c>
      <c r="R1202" s="1064"/>
      <c r="S1202" s="1112"/>
      <c r="T1202" s="1106" t="s">
        <v>1007</v>
      </c>
      <c r="U1202" s="1008"/>
      <c r="V1202" s="1008"/>
      <c r="W1202" s="1008"/>
      <c r="X1202" s="1008"/>
      <c r="Y1202" s="1008"/>
      <c r="Z1202" s="1008"/>
      <c r="AA1202" s="1008"/>
      <c r="AB1202" s="1008"/>
      <c r="AC1202" s="1008"/>
      <c r="AD1202" s="1008"/>
      <c r="AE1202" s="1008"/>
      <c r="AF1202" s="1008"/>
      <c r="AG1202" s="1008"/>
      <c r="AH1202" s="1008"/>
      <c r="AI1202" s="1008"/>
      <c r="AJ1202" s="1008"/>
      <c r="AK1202" s="1008"/>
      <c r="AL1202" s="1008"/>
      <c r="AM1202" s="1008"/>
      <c r="AN1202" s="1008"/>
      <c r="AO1202" s="1008"/>
      <c r="AP1202" s="1008"/>
      <c r="AQ1202" s="1008"/>
      <c r="AR1202" s="1008"/>
      <c r="AS1202" s="1008"/>
      <c r="AT1202" s="1008"/>
      <c r="AU1202" s="1008"/>
      <c r="AV1202" s="1008"/>
      <c r="AW1202" s="1008"/>
      <c r="AX1202" s="1008"/>
    </row>
    <row r="1203" spans="15:50">
      <c r="O1203" s="988" t="s">
        <v>1436</v>
      </c>
      <c r="P1203" s="1064">
        <f>'5.4'!I9</f>
        <v>0</v>
      </c>
      <c r="Q1203" s="1064" t="e">
        <f t="shared" si="4"/>
        <v>#REF!</v>
      </c>
      <c r="R1203" s="1064"/>
      <c r="S1203" s="1112"/>
      <c r="T1203" s="1106"/>
      <c r="U1203" s="1008"/>
      <c r="V1203" s="1008"/>
      <c r="W1203" s="1008"/>
      <c r="X1203" s="1008"/>
      <c r="Y1203" s="1008"/>
      <c r="Z1203" s="1008"/>
      <c r="AA1203" s="1008"/>
      <c r="AB1203" s="1008"/>
      <c r="AC1203" s="1008"/>
      <c r="AD1203" s="1008"/>
      <c r="AE1203" s="1008"/>
      <c r="AF1203" s="1008"/>
      <c r="AG1203" s="1008"/>
      <c r="AH1203" s="1008"/>
      <c r="AI1203" s="1008"/>
      <c r="AJ1203" s="1008"/>
      <c r="AK1203" s="1008"/>
      <c r="AL1203" s="1008"/>
      <c r="AM1203" s="1008"/>
      <c r="AN1203" s="1008"/>
      <c r="AO1203" s="1008"/>
      <c r="AP1203" s="1008"/>
      <c r="AQ1203" s="1008"/>
      <c r="AR1203" s="1008"/>
      <c r="AS1203" s="1008"/>
      <c r="AT1203" s="1008"/>
      <c r="AU1203" s="1008"/>
      <c r="AV1203" s="1008"/>
      <c r="AW1203" s="1008"/>
      <c r="AX1203" s="1008"/>
    </row>
    <row r="1204" spans="15:50">
      <c r="O1204" s="988" t="s">
        <v>1009</v>
      </c>
      <c r="P1204" s="1064">
        <v>0</v>
      </c>
      <c r="Q1204" s="1064" t="e">
        <f t="shared" si="4"/>
        <v>#REF!</v>
      </c>
      <c r="R1204" s="1064"/>
      <c r="S1204" s="1112"/>
      <c r="T1204" s="1106" t="s">
        <v>1010</v>
      </c>
      <c r="U1204" s="1008"/>
      <c r="V1204" s="1008"/>
      <c r="W1204" s="1008"/>
      <c r="X1204" s="1008"/>
      <c r="Y1204" s="1008"/>
      <c r="Z1204" s="1008"/>
      <c r="AA1204" s="1008"/>
      <c r="AB1204" s="1008"/>
      <c r="AC1204" s="1008"/>
      <c r="AD1204" s="1008"/>
      <c r="AE1204" s="1008"/>
      <c r="AF1204" s="1008"/>
      <c r="AG1204" s="1008"/>
      <c r="AH1204" s="1008"/>
      <c r="AI1204" s="1008"/>
      <c r="AJ1204" s="1008"/>
      <c r="AK1204" s="1008"/>
      <c r="AL1204" s="1008"/>
      <c r="AM1204" s="1008"/>
      <c r="AN1204" s="1008"/>
      <c r="AO1204" s="1008"/>
      <c r="AP1204" s="1008"/>
      <c r="AQ1204" s="1008"/>
      <c r="AR1204" s="1008"/>
      <c r="AS1204" s="1008"/>
      <c r="AT1204" s="1008"/>
      <c r="AU1204" s="1008"/>
      <c r="AV1204" s="1008"/>
      <c r="AW1204" s="1008"/>
      <c r="AX1204" s="1008"/>
    </row>
    <row r="1205" spans="15:50">
      <c r="O1205" s="988" t="s">
        <v>1448</v>
      </c>
      <c r="P1205" s="1064" t="e">
        <f>'5.3.1'!#REF!</f>
        <v>#REF!</v>
      </c>
      <c r="Q1205" s="1064" t="e">
        <f t="shared" si="4"/>
        <v>#REF!</v>
      </c>
      <c r="R1205" s="1064"/>
      <c r="S1205" s="1112"/>
      <c r="T1205" s="1008" t="s">
        <v>1010</v>
      </c>
      <c r="U1205" s="1008"/>
      <c r="V1205" s="1008"/>
      <c r="W1205" s="1008"/>
      <c r="X1205" s="1008"/>
      <c r="Y1205" s="1008"/>
      <c r="Z1205" s="1008"/>
      <c r="AA1205" s="1008"/>
      <c r="AB1205" s="1008"/>
      <c r="AC1205" s="1008"/>
      <c r="AD1205" s="1008"/>
      <c r="AE1205" s="1008"/>
      <c r="AF1205" s="1008"/>
      <c r="AG1205" s="1008"/>
      <c r="AH1205" s="1008"/>
      <c r="AI1205" s="1008"/>
      <c r="AJ1205" s="1008"/>
      <c r="AK1205" s="1008"/>
      <c r="AL1205" s="1008"/>
      <c r="AM1205" s="1008"/>
      <c r="AN1205" s="1008"/>
      <c r="AO1205" s="1008"/>
      <c r="AP1205" s="1008"/>
      <c r="AQ1205" s="1008"/>
      <c r="AR1205" s="1008"/>
      <c r="AS1205" s="1008"/>
      <c r="AT1205" s="1008"/>
      <c r="AU1205" s="1008"/>
      <c r="AV1205" s="1008"/>
      <c r="AW1205" s="1008"/>
      <c r="AX1205" s="1008"/>
    </row>
    <row r="1206" spans="15:50">
      <c r="O1206" s="988" t="s">
        <v>879</v>
      </c>
      <c r="P1206" s="1064" t="e">
        <f>'5.2.1'!#REF!</f>
        <v>#REF!</v>
      </c>
      <c r="Q1206" s="1064" t="e">
        <f t="shared" si="4"/>
        <v>#REF!</v>
      </c>
      <c r="R1206" s="1064"/>
      <c r="S1206" s="1112"/>
      <c r="T1206" s="1008" t="s">
        <v>1011</v>
      </c>
      <c r="U1206" s="1008"/>
      <c r="V1206" s="1008"/>
      <c r="W1206" s="1008"/>
      <c r="X1206" s="1008"/>
      <c r="Y1206" s="1008"/>
      <c r="Z1206" s="1008"/>
      <c r="AA1206" s="1008"/>
      <c r="AB1206" s="1008"/>
      <c r="AC1206" s="1008"/>
      <c r="AD1206" s="1008"/>
      <c r="AE1206" s="1008"/>
      <c r="AF1206" s="1008"/>
      <c r="AG1206" s="1008"/>
      <c r="AH1206" s="1008"/>
      <c r="AI1206" s="1008"/>
      <c r="AJ1206" s="1008"/>
      <c r="AK1206" s="1008"/>
      <c r="AL1206" s="1008"/>
      <c r="AM1206" s="1008"/>
      <c r="AN1206" s="1008"/>
      <c r="AO1206" s="1008"/>
      <c r="AP1206" s="1008"/>
      <c r="AQ1206" s="1008"/>
      <c r="AR1206" s="1008"/>
      <c r="AS1206" s="1008"/>
      <c r="AT1206" s="1008"/>
      <c r="AU1206" s="1008"/>
      <c r="AV1206" s="1008"/>
      <c r="AW1206" s="1008"/>
      <c r="AX1206" s="1008"/>
    </row>
    <row r="1207" spans="15:50">
      <c r="O1207" s="988" t="s">
        <v>872</v>
      </c>
      <c r="P1207" s="1064" t="e">
        <f>'5.3.1'!#REF!</f>
        <v>#REF!</v>
      </c>
      <c r="Q1207" s="1064" t="e">
        <f t="shared" si="4"/>
        <v>#REF!</v>
      </c>
      <c r="R1207" s="1064"/>
      <c r="S1207" s="1112"/>
      <c r="T1207" s="1008" t="s">
        <v>1013</v>
      </c>
      <c r="U1207" s="1008"/>
      <c r="V1207" s="1008"/>
      <c r="W1207" s="1008"/>
      <c r="X1207" s="1008"/>
      <c r="Y1207" s="1008"/>
      <c r="Z1207" s="1008"/>
      <c r="AA1207" s="1008"/>
      <c r="AB1207" s="1008"/>
      <c r="AC1207" s="1008"/>
      <c r="AD1207" s="1008"/>
      <c r="AE1207" s="1008"/>
      <c r="AF1207" s="1008"/>
      <c r="AG1207" s="1008"/>
      <c r="AH1207" s="1008"/>
      <c r="AI1207" s="1008"/>
      <c r="AJ1207" s="1008"/>
      <c r="AK1207" s="1008"/>
      <c r="AL1207" s="1008"/>
      <c r="AM1207" s="1008"/>
      <c r="AN1207" s="1008"/>
      <c r="AO1207" s="1008"/>
      <c r="AP1207" s="1008"/>
      <c r="AQ1207" s="1008"/>
      <c r="AR1207" s="1008"/>
      <c r="AS1207" s="1008"/>
      <c r="AT1207" s="1008"/>
      <c r="AU1207" s="1008"/>
      <c r="AV1207" s="1008"/>
      <c r="AW1207" s="1008"/>
      <c r="AX1207" s="1008"/>
    </row>
    <row r="1208" spans="15:50">
      <c r="O1208" s="988" t="s">
        <v>1014</v>
      </c>
      <c r="P1208" s="1064" t="e">
        <f>'5.3.1'!#REF!</f>
        <v>#REF!</v>
      </c>
      <c r="Q1208" s="1064" t="e">
        <f t="shared" si="4"/>
        <v>#REF!</v>
      </c>
      <c r="R1208" s="1064"/>
      <c r="S1208" s="1112"/>
      <c r="T1208" s="1008" t="s">
        <v>1015</v>
      </c>
      <c r="U1208" s="1008"/>
      <c r="V1208" s="1008"/>
      <c r="W1208" s="1008"/>
      <c r="X1208" s="1008"/>
      <c r="Y1208" s="1008"/>
      <c r="Z1208" s="1008"/>
      <c r="AA1208" s="1008"/>
      <c r="AB1208" s="1008"/>
      <c r="AC1208" s="1008"/>
      <c r="AD1208" s="1008"/>
      <c r="AE1208" s="1008"/>
      <c r="AF1208" s="1008"/>
      <c r="AG1208" s="1008"/>
      <c r="AH1208" s="1008"/>
      <c r="AI1208" s="1008"/>
      <c r="AJ1208" s="1008"/>
      <c r="AK1208" s="1008"/>
      <c r="AL1208" s="1008"/>
      <c r="AM1208" s="1008"/>
      <c r="AN1208" s="1008"/>
      <c r="AO1208" s="1008"/>
      <c r="AP1208" s="1008"/>
      <c r="AQ1208" s="1008"/>
      <c r="AR1208" s="1008"/>
      <c r="AS1208" s="1008"/>
      <c r="AT1208" s="1008"/>
      <c r="AU1208" s="1008"/>
      <c r="AV1208" s="1008"/>
      <c r="AW1208" s="1008"/>
      <c r="AX1208" s="1008"/>
    </row>
    <row r="1209" spans="15:50">
      <c r="O1209" s="988" t="s">
        <v>878</v>
      </c>
      <c r="P1209" s="1064" t="e">
        <f>'5.3.1'!#REF!</f>
        <v>#REF!</v>
      </c>
      <c r="Q1209" s="1064" t="e">
        <f t="shared" si="4"/>
        <v>#REF!</v>
      </c>
      <c r="R1209" s="1064"/>
      <c r="S1209" s="1112"/>
      <c r="T1209" s="1008" t="s">
        <v>1017</v>
      </c>
      <c r="U1209" s="1008"/>
      <c r="V1209" s="1008"/>
      <c r="W1209" s="1008"/>
      <c r="X1209" s="1008"/>
      <c r="Y1209" s="1008"/>
      <c r="Z1209" s="1008"/>
      <c r="AA1209" s="1008"/>
      <c r="AB1209" s="1008"/>
      <c r="AC1209" s="1008"/>
      <c r="AD1209" s="1008"/>
      <c r="AE1209" s="1008"/>
      <c r="AF1209" s="1008"/>
      <c r="AG1209" s="1008"/>
      <c r="AH1209" s="1008"/>
      <c r="AI1209" s="1008"/>
      <c r="AJ1209" s="1008"/>
      <c r="AK1209" s="1008"/>
      <c r="AL1209" s="1008"/>
      <c r="AM1209" s="1008"/>
      <c r="AN1209" s="1008"/>
      <c r="AO1209" s="1008"/>
      <c r="AP1209" s="1008"/>
      <c r="AQ1209" s="1008"/>
      <c r="AR1209" s="1008"/>
      <c r="AS1209" s="1008"/>
      <c r="AT1209" s="1008"/>
      <c r="AU1209" s="1008"/>
      <c r="AV1209" s="1008"/>
      <c r="AW1209" s="1008"/>
      <c r="AX1209" s="1008"/>
    </row>
    <row r="1210" spans="15:50">
      <c r="O1210" s="988" t="s">
        <v>1018</v>
      </c>
      <c r="P1210" s="1064">
        <v>0</v>
      </c>
      <c r="Q1210" s="1064" t="e">
        <f t="shared" si="4"/>
        <v>#REF!</v>
      </c>
      <c r="R1210" s="1064"/>
      <c r="S1210" s="1112"/>
      <c r="T1210" s="1008" t="s">
        <v>1010</v>
      </c>
      <c r="U1210" s="1008"/>
      <c r="V1210" s="1008"/>
      <c r="W1210" s="1008"/>
      <c r="X1210" s="1008"/>
      <c r="Y1210" s="1008"/>
      <c r="Z1210" s="1008"/>
      <c r="AA1210" s="1008"/>
      <c r="AB1210" s="1008"/>
      <c r="AC1210" s="1008"/>
      <c r="AD1210" s="1008"/>
      <c r="AE1210" s="1008"/>
      <c r="AF1210" s="1008"/>
      <c r="AG1210" s="1008"/>
      <c r="AH1210" s="1008"/>
      <c r="AI1210" s="1008"/>
      <c r="AJ1210" s="1008"/>
      <c r="AK1210" s="1008"/>
      <c r="AL1210" s="1008"/>
      <c r="AM1210" s="1008"/>
      <c r="AN1210" s="1008"/>
      <c r="AO1210" s="1008"/>
      <c r="AP1210" s="1008"/>
      <c r="AQ1210" s="1008"/>
      <c r="AR1210" s="1008"/>
      <c r="AS1210" s="1008"/>
      <c r="AT1210" s="1008"/>
      <c r="AU1210" s="1008"/>
      <c r="AV1210" s="1008"/>
      <c r="AW1210" s="1008"/>
      <c r="AX1210" s="1008"/>
    </row>
    <row r="1211" spans="15:50">
      <c r="O1211" s="989"/>
      <c r="P1211" s="1064" t="e">
        <f>SUM(P1200:P1210)</f>
        <v>#REF!</v>
      </c>
      <c r="Q1211" s="1064" t="e">
        <f>SUM(Q1200:Q1210)</f>
        <v>#REF!</v>
      </c>
      <c r="R1211" s="1064"/>
      <c r="S1211" s="1112"/>
      <c r="T1211" s="1008"/>
      <c r="U1211" s="1008"/>
      <c r="V1211" s="1008"/>
      <c r="W1211" s="1008"/>
      <c r="X1211" s="1008"/>
      <c r="Y1211" s="1008"/>
      <c r="Z1211" s="1008"/>
      <c r="AA1211" s="1008"/>
      <c r="AB1211" s="1008"/>
      <c r="AC1211" s="1008"/>
      <c r="AD1211" s="1008"/>
      <c r="AE1211" s="1008"/>
      <c r="AF1211" s="1008"/>
      <c r="AG1211" s="1008"/>
      <c r="AH1211" s="1008"/>
      <c r="AI1211" s="1008"/>
      <c r="AJ1211" s="1008"/>
      <c r="AK1211" s="1008"/>
      <c r="AL1211" s="1008"/>
      <c r="AM1211" s="1008"/>
      <c r="AN1211" s="1008"/>
      <c r="AO1211" s="1008"/>
      <c r="AP1211" s="1008"/>
      <c r="AQ1211" s="1008"/>
      <c r="AR1211" s="1008"/>
      <c r="AS1211" s="1008"/>
      <c r="AT1211" s="1008"/>
      <c r="AU1211" s="1008"/>
      <c r="AV1211" s="1008"/>
      <c r="AW1211" s="1008"/>
      <c r="AX1211" s="1008"/>
    </row>
    <row r="1212" spans="15:50">
      <c r="O1212" s="989"/>
      <c r="P1212" s="1064">
        <f>'1-4.1'!D981</f>
        <v>0</v>
      </c>
      <c r="Q1212" s="1064"/>
      <c r="R1212" s="1064"/>
      <c r="S1212" s="1064"/>
      <c r="T1212" s="1008"/>
      <c r="U1212" s="1008"/>
      <c r="V1212" s="1008"/>
      <c r="W1212" s="1008"/>
      <c r="X1212" s="1008"/>
      <c r="Y1212" s="1008"/>
      <c r="Z1212" s="1008"/>
      <c r="AA1212" s="1008"/>
      <c r="AB1212" s="1008"/>
      <c r="AC1212" s="1008"/>
      <c r="AD1212" s="1008"/>
      <c r="AE1212" s="1008"/>
      <c r="AF1212" s="1008"/>
      <c r="AG1212" s="1008"/>
      <c r="AH1212" s="1008"/>
      <c r="AI1212" s="1008"/>
      <c r="AJ1212" s="1008"/>
      <c r="AK1212" s="1008"/>
      <c r="AL1212" s="1008"/>
      <c r="AM1212" s="1008"/>
      <c r="AN1212" s="1008"/>
      <c r="AO1212" s="1008"/>
      <c r="AP1212" s="1008"/>
      <c r="AQ1212" s="1008"/>
      <c r="AR1212" s="1008"/>
      <c r="AS1212" s="1008"/>
      <c r="AT1212" s="1008"/>
      <c r="AU1212" s="1008"/>
      <c r="AV1212" s="1008"/>
      <c r="AW1212" s="1008"/>
      <c r="AX1212" s="1008"/>
    </row>
    <row r="1213" spans="15:50">
      <c r="O1213" s="989"/>
      <c r="P1213" s="1064" t="e">
        <f>P1212-P1211</f>
        <v>#REF!</v>
      </c>
      <c r="Q1213" s="1008"/>
      <c r="R1213" s="1064"/>
      <c r="S1213" s="1008"/>
      <c r="T1213" s="1008"/>
      <c r="U1213" s="1008"/>
      <c r="V1213" s="1008"/>
      <c r="W1213" s="1008"/>
      <c r="X1213" s="1008"/>
      <c r="Y1213" s="1008"/>
      <c r="Z1213" s="1008"/>
      <c r="AA1213" s="1008"/>
      <c r="AB1213" s="1008"/>
      <c r="AC1213" s="1008"/>
      <c r="AD1213" s="1008"/>
      <c r="AE1213" s="1008"/>
      <c r="AF1213" s="1008"/>
      <c r="AG1213" s="1008"/>
      <c r="AH1213" s="1008"/>
      <c r="AI1213" s="1008"/>
      <c r="AJ1213" s="1008"/>
      <c r="AK1213" s="1008"/>
      <c r="AL1213" s="1008"/>
      <c r="AM1213" s="1008"/>
      <c r="AN1213" s="1008"/>
      <c r="AO1213" s="1008"/>
      <c r="AP1213" s="1008"/>
      <c r="AQ1213" s="1008"/>
      <c r="AR1213" s="1008"/>
      <c r="AS1213" s="1008"/>
      <c r="AT1213" s="1008"/>
      <c r="AU1213" s="1008"/>
      <c r="AV1213" s="1008"/>
      <c r="AW1213" s="1008"/>
      <c r="AX1213" s="1008"/>
    </row>
    <row r="1214" spans="15:50">
      <c r="O1214" s="989"/>
      <c r="P1214" s="1008"/>
      <c r="Q1214" s="1008"/>
      <c r="R1214" s="1008"/>
      <c r="S1214" s="1008"/>
      <c r="T1214" s="1008"/>
      <c r="U1214" s="1008"/>
      <c r="V1214" s="1008"/>
      <c r="W1214" s="1008"/>
      <c r="X1214" s="1008"/>
      <c r="Y1214" s="1008"/>
      <c r="Z1214" s="1008"/>
      <c r="AA1214" s="1008"/>
      <c r="AB1214" s="1008"/>
      <c r="AC1214" s="1008"/>
      <c r="AD1214" s="1008"/>
      <c r="AE1214" s="1008"/>
      <c r="AF1214" s="1008"/>
      <c r="AG1214" s="1008"/>
      <c r="AH1214" s="1008"/>
      <c r="AI1214" s="1008"/>
      <c r="AJ1214" s="1008"/>
      <c r="AK1214" s="1008"/>
      <c r="AL1214" s="1008"/>
      <c r="AM1214" s="1008"/>
      <c r="AN1214" s="1008"/>
      <c r="AO1214" s="1008"/>
      <c r="AP1214" s="1008"/>
      <c r="AQ1214" s="1008"/>
      <c r="AR1214" s="1008"/>
      <c r="AS1214" s="1008"/>
      <c r="AT1214" s="1008"/>
      <c r="AU1214" s="1008"/>
      <c r="AV1214" s="1008"/>
      <c r="AW1214" s="1008"/>
      <c r="AX1214" s="1008"/>
    </row>
    <row r="1215" spans="15:50">
      <c r="O1215" s="989"/>
      <c r="P1215" s="1008"/>
      <c r="Q1215" s="1008"/>
      <c r="R1215" s="1008"/>
      <c r="S1215" s="1008"/>
      <c r="T1215" s="1008"/>
      <c r="U1215" s="1008"/>
      <c r="V1215" s="1008"/>
      <c r="W1215" s="1008"/>
      <c r="X1215" s="1008"/>
      <c r="Y1215" s="1008"/>
      <c r="Z1215" s="1008"/>
      <c r="AA1215" s="1008"/>
      <c r="AB1215" s="1008"/>
      <c r="AC1215" s="1008"/>
      <c r="AD1215" s="1008"/>
      <c r="AE1215" s="1008"/>
      <c r="AF1215" s="1008"/>
      <c r="AG1215" s="1008"/>
      <c r="AH1215" s="1008"/>
      <c r="AI1215" s="1008"/>
      <c r="AJ1215" s="1008"/>
      <c r="AK1215" s="1008"/>
      <c r="AL1215" s="1008"/>
      <c r="AM1215" s="1008"/>
      <c r="AN1215" s="1008"/>
      <c r="AO1215" s="1008"/>
      <c r="AP1215" s="1008"/>
      <c r="AQ1215" s="1008"/>
      <c r="AR1215" s="1008"/>
      <c r="AS1215" s="1008"/>
      <c r="AT1215" s="1008"/>
      <c r="AU1215" s="1008"/>
      <c r="AV1215" s="1008"/>
      <c r="AW1215" s="1008"/>
      <c r="AX1215" s="1008"/>
    </row>
    <row r="1216" spans="15:50">
      <c r="O1216" s="989"/>
      <c r="P1216" s="1008"/>
      <c r="Q1216" s="1008"/>
      <c r="R1216" s="1008"/>
      <c r="S1216" s="1008"/>
      <c r="T1216" s="1008"/>
      <c r="U1216" s="1008"/>
      <c r="V1216" s="1008"/>
      <c r="W1216" s="1008"/>
      <c r="X1216" s="1008"/>
      <c r="Y1216" s="1008"/>
      <c r="Z1216" s="1008"/>
      <c r="AA1216" s="1008"/>
      <c r="AB1216" s="1008"/>
      <c r="AC1216" s="1008"/>
      <c r="AD1216" s="1008"/>
      <c r="AE1216" s="1008"/>
      <c r="AF1216" s="1008"/>
      <c r="AG1216" s="1008"/>
      <c r="AH1216" s="1008"/>
      <c r="AI1216" s="1008"/>
      <c r="AJ1216" s="1008"/>
      <c r="AK1216" s="1008"/>
      <c r="AL1216" s="1008"/>
      <c r="AM1216" s="1008"/>
      <c r="AN1216" s="1008"/>
      <c r="AO1216" s="1008"/>
      <c r="AP1216" s="1008"/>
      <c r="AQ1216" s="1008"/>
      <c r="AR1216" s="1008"/>
      <c r="AS1216" s="1008"/>
      <c r="AT1216" s="1008"/>
      <c r="AU1216" s="1008"/>
      <c r="AV1216" s="1008"/>
      <c r="AW1216" s="1008"/>
      <c r="AX1216" s="1008"/>
    </row>
    <row r="1217" spans="15:50">
      <c r="O1217" s="989"/>
    </row>
    <row r="1226" spans="15:50">
      <c r="O1226" s="989"/>
      <c r="P1226" s="1008"/>
      <c r="Q1226" s="1008"/>
      <c r="R1226" s="1008"/>
      <c r="S1226" s="1008"/>
      <c r="T1226" s="1008"/>
      <c r="U1226" s="1008"/>
      <c r="V1226" s="1008"/>
      <c r="W1226" s="1008"/>
      <c r="X1226" s="1008"/>
      <c r="Y1226" s="1008"/>
      <c r="Z1226" s="1008"/>
      <c r="AA1226" s="1008"/>
      <c r="AB1226" s="1008"/>
      <c r="AC1226" s="1008"/>
      <c r="AD1226" s="1008"/>
      <c r="AE1226" s="1008"/>
      <c r="AF1226" s="1008"/>
      <c r="AG1226" s="1008"/>
      <c r="AH1226" s="1008"/>
      <c r="AI1226" s="1008"/>
      <c r="AJ1226" s="1008"/>
      <c r="AK1226" s="1008"/>
      <c r="AL1226" s="1008"/>
      <c r="AM1226" s="1008"/>
      <c r="AN1226" s="1008"/>
      <c r="AO1226" s="1008"/>
      <c r="AP1226" s="1008"/>
      <c r="AQ1226" s="1008"/>
      <c r="AR1226" s="1008"/>
      <c r="AS1226" s="1008"/>
      <c r="AT1226" s="1008"/>
      <c r="AU1226" s="1008"/>
      <c r="AV1226" s="1008"/>
      <c r="AW1226" s="1008"/>
      <c r="AX1226" s="1008"/>
    </row>
    <row r="1227" spans="15:50">
      <c r="O1227" s="989"/>
      <c r="P1227" s="1008"/>
      <c r="Q1227" s="1008"/>
      <c r="R1227" s="1008"/>
      <c r="S1227" s="1008"/>
      <c r="T1227" s="1008"/>
      <c r="U1227" s="1008"/>
      <c r="V1227" s="1008"/>
      <c r="W1227" s="1008"/>
      <c r="X1227" s="1008"/>
      <c r="Y1227" s="1008"/>
      <c r="Z1227" s="1008"/>
      <c r="AA1227" s="1008"/>
      <c r="AB1227" s="1008"/>
      <c r="AC1227" s="1008"/>
      <c r="AD1227" s="1008"/>
      <c r="AE1227" s="1008"/>
      <c r="AF1227" s="1008"/>
      <c r="AG1227" s="1008"/>
      <c r="AH1227" s="1008"/>
      <c r="AI1227" s="1008"/>
      <c r="AJ1227" s="1008"/>
      <c r="AK1227" s="1008"/>
      <c r="AL1227" s="1008"/>
      <c r="AM1227" s="1008"/>
      <c r="AN1227" s="1008"/>
      <c r="AO1227" s="1008"/>
      <c r="AP1227" s="1008"/>
      <c r="AQ1227" s="1008"/>
      <c r="AR1227" s="1008"/>
      <c r="AS1227" s="1008"/>
      <c r="AT1227" s="1008"/>
      <c r="AU1227" s="1008"/>
      <c r="AV1227" s="1008"/>
      <c r="AW1227" s="1008"/>
      <c r="AX1227" s="1008"/>
    </row>
    <row r="1228" spans="15:50">
      <c r="O1228" s="989"/>
      <c r="P1228" s="1008"/>
      <c r="Q1228" s="1008"/>
      <c r="R1228" s="1008"/>
      <c r="S1228" s="1008"/>
      <c r="T1228" s="1008"/>
      <c r="U1228" s="1008"/>
      <c r="V1228" s="1008"/>
      <c r="W1228" s="1008"/>
      <c r="X1228" s="1008"/>
      <c r="Y1228" s="1008"/>
      <c r="Z1228" s="1008"/>
      <c r="AA1228" s="1008"/>
      <c r="AB1228" s="1008"/>
      <c r="AC1228" s="1008"/>
      <c r="AD1228" s="1008"/>
      <c r="AE1228" s="1008"/>
      <c r="AF1228" s="1008"/>
      <c r="AG1228" s="1008"/>
      <c r="AH1228" s="1008"/>
      <c r="AI1228" s="1008"/>
      <c r="AJ1228" s="1008"/>
      <c r="AK1228" s="1008"/>
      <c r="AL1228" s="1008"/>
      <c r="AM1228" s="1008"/>
      <c r="AN1228" s="1008"/>
      <c r="AO1228" s="1008"/>
      <c r="AP1228" s="1008"/>
      <c r="AQ1228" s="1008"/>
      <c r="AR1228" s="1008"/>
      <c r="AS1228" s="1008"/>
      <c r="AT1228" s="1008"/>
      <c r="AU1228" s="1008"/>
      <c r="AV1228" s="1008"/>
      <c r="AW1228" s="1008"/>
      <c r="AX1228" s="1008"/>
    </row>
    <row r="1229" spans="15:50">
      <c r="O1229" s="989"/>
      <c r="P1229" s="1008"/>
      <c r="Q1229" s="1008"/>
      <c r="R1229" s="1008"/>
      <c r="S1229" s="1008"/>
      <c r="T1229" s="1008"/>
      <c r="U1229" s="1008"/>
      <c r="V1229" s="1008"/>
      <c r="W1229" s="1008"/>
      <c r="X1229" s="1008"/>
      <c r="Y1229" s="1008"/>
      <c r="Z1229" s="1008"/>
      <c r="AA1229" s="1008"/>
      <c r="AB1229" s="1008"/>
      <c r="AC1229" s="1008"/>
      <c r="AD1229" s="1008"/>
      <c r="AE1229" s="1008"/>
      <c r="AF1229" s="1008"/>
      <c r="AG1229" s="1008"/>
      <c r="AH1229" s="1008"/>
      <c r="AI1229" s="1008"/>
      <c r="AJ1229" s="1008"/>
      <c r="AK1229" s="1008"/>
      <c r="AL1229" s="1008"/>
      <c r="AM1229" s="1008"/>
      <c r="AN1229" s="1008"/>
      <c r="AO1229" s="1008"/>
      <c r="AP1229" s="1008"/>
      <c r="AQ1229" s="1008"/>
      <c r="AR1229" s="1008"/>
      <c r="AS1229" s="1008"/>
      <c r="AT1229" s="1008"/>
      <c r="AU1229" s="1008"/>
      <c r="AV1229" s="1008"/>
      <c r="AW1229" s="1008"/>
      <c r="AX1229" s="1008"/>
    </row>
    <row r="1230" spans="15:50">
      <c r="O1230" s="989"/>
      <c r="P1230" s="1008"/>
      <c r="Q1230" s="1008"/>
      <c r="R1230" s="1008"/>
      <c r="S1230" s="1008"/>
      <c r="T1230" s="1008"/>
      <c r="U1230" s="1008"/>
      <c r="V1230" s="1008"/>
      <c r="W1230" s="1008"/>
      <c r="X1230" s="1008"/>
      <c r="Y1230" s="1008"/>
      <c r="Z1230" s="1008"/>
      <c r="AA1230" s="1008"/>
      <c r="AB1230" s="1008"/>
      <c r="AC1230" s="1008"/>
      <c r="AD1230" s="1008"/>
      <c r="AE1230" s="1008"/>
      <c r="AF1230" s="1008"/>
      <c r="AG1230" s="1008"/>
      <c r="AH1230" s="1008"/>
      <c r="AI1230" s="1008"/>
      <c r="AJ1230" s="1008"/>
      <c r="AK1230" s="1008"/>
      <c r="AL1230" s="1008"/>
      <c r="AM1230" s="1008"/>
      <c r="AN1230" s="1008"/>
      <c r="AO1230" s="1008"/>
      <c r="AP1230" s="1008"/>
      <c r="AQ1230" s="1008"/>
      <c r="AR1230" s="1008"/>
      <c r="AS1230" s="1008"/>
      <c r="AT1230" s="1008"/>
      <c r="AU1230" s="1008"/>
      <c r="AV1230" s="1008"/>
      <c r="AW1230" s="1008"/>
      <c r="AX1230" s="1008"/>
    </row>
    <row r="1231" spans="15:50">
      <c r="O1231" s="989"/>
      <c r="P1231" s="1008"/>
      <c r="Q1231" s="1008"/>
      <c r="R1231" s="1008"/>
      <c r="S1231" s="1008"/>
      <c r="T1231" s="1008"/>
      <c r="U1231" s="1008"/>
      <c r="V1231" s="1008"/>
      <c r="W1231" s="1008"/>
      <c r="X1231" s="1008"/>
      <c r="Y1231" s="1008"/>
      <c r="Z1231" s="1008"/>
      <c r="AA1231" s="1008"/>
      <c r="AB1231" s="1008"/>
      <c r="AC1231" s="1008"/>
      <c r="AD1231" s="1008"/>
      <c r="AE1231" s="1008"/>
      <c r="AF1231" s="1008"/>
      <c r="AG1231" s="1008"/>
      <c r="AH1231" s="1008"/>
      <c r="AI1231" s="1008"/>
      <c r="AJ1231" s="1008"/>
      <c r="AK1231" s="1008"/>
      <c r="AL1231" s="1008"/>
      <c r="AM1231" s="1008"/>
      <c r="AN1231" s="1008"/>
      <c r="AO1231" s="1008"/>
      <c r="AP1231" s="1008"/>
      <c r="AQ1231" s="1008"/>
      <c r="AR1231" s="1008"/>
      <c r="AS1231" s="1008"/>
      <c r="AT1231" s="1008"/>
      <c r="AU1231" s="1008"/>
      <c r="AV1231" s="1008"/>
      <c r="AW1231" s="1008"/>
      <c r="AX1231" s="1008"/>
    </row>
    <row r="1232" spans="15:50">
      <c r="O1232" s="989"/>
      <c r="P1232" s="1008"/>
      <c r="Q1232" s="1008"/>
      <c r="R1232" s="1008"/>
      <c r="S1232" s="1008"/>
      <c r="T1232" s="1008"/>
      <c r="U1232" s="1008"/>
      <c r="V1232" s="1008"/>
      <c r="W1232" s="1008"/>
      <c r="X1232" s="1008"/>
      <c r="Y1232" s="1008"/>
      <c r="Z1232" s="1008"/>
      <c r="AA1232" s="1008"/>
      <c r="AB1232" s="1008"/>
      <c r="AC1232" s="1008"/>
      <c r="AD1232" s="1008"/>
      <c r="AE1232" s="1008"/>
      <c r="AF1232" s="1008"/>
      <c r="AG1232" s="1008"/>
      <c r="AH1232" s="1008"/>
      <c r="AI1232" s="1008"/>
      <c r="AJ1232" s="1008"/>
      <c r="AK1232" s="1008"/>
      <c r="AL1232" s="1008"/>
      <c r="AM1232" s="1008"/>
      <c r="AN1232" s="1008"/>
      <c r="AO1232" s="1008"/>
      <c r="AP1232" s="1008"/>
      <c r="AQ1232" s="1008"/>
      <c r="AR1232" s="1008"/>
      <c r="AS1232" s="1008"/>
      <c r="AT1232" s="1008"/>
      <c r="AU1232" s="1008"/>
      <c r="AV1232" s="1008"/>
      <c r="AW1232" s="1008"/>
      <c r="AX1232" s="1008"/>
    </row>
    <row r="1233" spans="15:50">
      <c r="O1233" s="989"/>
      <c r="P1233" s="1008"/>
      <c r="Q1233" s="1008"/>
      <c r="R1233" s="1008"/>
      <c r="S1233" s="1008"/>
      <c r="T1233" s="1008"/>
      <c r="U1233" s="1008"/>
      <c r="V1233" s="1008"/>
      <c r="W1233" s="1008"/>
      <c r="X1233" s="1008"/>
      <c r="Y1233" s="1008"/>
      <c r="Z1233" s="1008"/>
      <c r="AA1233" s="1008"/>
      <c r="AB1233" s="1008"/>
      <c r="AC1233" s="1008"/>
      <c r="AD1233" s="1008"/>
      <c r="AE1233" s="1008"/>
      <c r="AF1233" s="1008"/>
      <c r="AG1233" s="1008"/>
      <c r="AH1233" s="1008"/>
      <c r="AI1233" s="1008"/>
      <c r="AJ1233" s="1008"/>
      <c r="AK1233" s="1008"/>
      <c r="AL1233" s="1008"/>
      <c r="AM1233" s="1008"/>
      <c r="AN1233" s="1008"/>
      <c r="AO1233" s="1008"/>
      <c r="AP1233" s="1008"/>
      <c r="AQ1233" s="1008"/>
      <c r="AR1233" s="1008"/>
      <c r="AS1233" s="1008"/>
      <c r="AT1233" s="1008"/>
      <c r="AU1233" s="1008"/>
      <c r="AV1233" s="1008"/>
      <c r="AW1233" s="1008"/>
      <c r="AX1233" s="1008"/>
    </row>
    <row r="1234" spans="15:50">
      <c r="O1234" s="989"/>
      <c r="P1234" s="1008"/>
      <c r="Q1234" s="1008"/>
      <c r="R1234" s="1008"/>
      <c r="S1234" s="1008"/>
      <c r="T1234" s="1008"/>
      <c r="U1234" s="1008"/>
      <c r="V1234" s="1008"/>
      <c r="W1234" s="1008"/>
      <c r="X1234" s="1008"/>
      <c r="Y1234" s="1008"/>
      <c r="Z1234" s="1008"/>
      <c r="AA1234" s="1008"/>
      <c r="AB1234" s="1008"/>
      <c r="AC1234" s="1008"/>
      <c r="AD1234" s="1008"/>
      <c r="AE1234" s="1008"/>
      <c r="AF1234" s="1008"/>
      <c r="AG1234" s="1008"/>
      <c r="AH1234" s="1008"/>
      <c r="AI1234" s="1008"/>
      <c r="AJ1234" s="1008"/>
      <c r="AK1234" s="1008"/>
      <c r="AL1234" s="1008"/>
      <c r="AM1234" s="1008"/>
      <c r="AN1234" s="1008"/>
      <c r="AO1234" s="1008"/>
      <c r="AP1234" s="1008"/>
      <c r="AQ1234" s="1008"/>
      <c r="AR1234" s="1008"/>
      <c r="AS1234" s="1008"/>
      <c r="AT1234" s="1008"/>
      <c r="AU1234" s="1008"/>
      <c r="AV1234" s="1008"/>
      <c r="AW1234" s="1008"/>
      <c r="AX1234" s="1008"/>
    </row>
    <row r="1235" spans="15:50">
      <c r="O1235" s="989"/>
      <c r="P1235" s="1008"/>
      <c r="Q1235" s="1008"/>
      <c r="R1235" s="1008"/>
      <c r="S1235" s="1008"/>
      <c r="T1235" s="1008"/>
      <c r="U1235" s="1008"/>
      <c r="V1235" s="1008"/>
      <c r="W1235" s="1008"/>
      <c r="X1235" s="1008"/>
      <c r="Y1235" s="1008"/>
      <c r="Z1235" s="1008"/>
      <c r="AA1235" s="1008"/>
      <c r="AB1235" s="1008"/>
      <c r="AC1235" s="1008"/>
      <c r="AD1235" s="1008"/>
      <c r="AE1235" s="1008"/>
      <c r="AF1235" s="1008"/>
      <c r="AG1235" s="1008"/>
      <c r="AH1235" s="1008"/>
      <c r="AI1235" s="1008"/>
      <c r="AJ1235" s="1008"/>
      <c r="AK1235" s="1008"/>
      <c r="AL1235" s="1008"/>
      <c r="AM1235" s="1008"/>
      <c r="AN1235" s="1008"/>
      <c r="AO1235" s="1008"/>
      <c r="AP1235" s="1008"/>
      <c r="AQ1235" s="1008"/>
      <c r="AR1235" s="1008"/>
      <c r="AS1235" s="1008"/>
      <c r="AT1235" s="1008"/>
      <c r="AU1235" s="1008"/>
      <c r="AV1235" s="1008"/>
      <c r="AW1235" s="1008"/>
      <c r="AX1235" s="1008"/>
    </row>
    <row r="1236" spans="15:50">
      <c r="O1236" s="888" t="s">
        <v>817</v>
      </c>
      <c r="P1236" s="1008"/>
      <c r="Q1236" s="1008"/>
      <c r="R1236" s="1008"/>
      <c r="S1236" s="1008"/>
      <c r="T1236" s="1008"/>
      <c r="U1236" s="1008"/>
      <c r="V1236" s="1008"/>
      <c r="W1236" s="1008"/>
      <c r="X1236" s="1008"/>
      <c r="Y1236" s="1008"/>
      <c r="Z1236" s="1008"/>
      <c r="AA1236" s="1008"/>
      <c r="AB1236" s="1008"/>
      <c r="AC1236" s="1008"/>
      <c r="AD1236" s="1008"/>
      <c r="AE1236" s="1008"/>
      <c r="AF1236" s="1008"/>
      <c r="AG1236" s="1008"/>
      <c r="AH1236" s="1008"/>
      <c r="AI1236" s="1008"/>
      <c r="AJ1236" s="1008"/>
      <c r="AK1236" s="1008"/>
      <c r="AL1236" s="1008"/>
      <c r="AM1236" s="1008"/>
      <c r="AN1236" s="1008"/>
      <c r="AO1236" s="1008"/>
      <c r="AP1236" s="1008"/>
      <c r="AQ1236" s="1008"/>
      <c r="AR1236" s="1008"/>
      <c r="AS1236" s="1008"/>
      <c r="AT1236" s="1008"/>
      <c r="AU1236" s="1008"/>
      <c r="AV1236" s="1008"/>
      <c r="AW1236" s="1008"/>
      <c r="AX1236" s="1008"/>
    </row>
    <row r="1237" spans="15:50">
      <c r="O1237" s="989"/>
      <c r="P1237" s="1008"/>
      <c r="Q1237" s="1008"/>
      <c r="R1237" s="1008"/>
      <c r="S1237" s="1008"/>
      <c r="T1237" s="1008"/>
      <c r="U1237" s="1008"/>
      <c r="V1237" s="1008"/>
      <c r="W1237" s="1008"/>
      <c r="X1237" s="1008"/>
      <c r="Y1237" s="1008"/>
      <c r="Z1237" s="1008"/>
      <c r="AA1237" s="1008"/>
      <c r="AB1237" s="1008"/>
      <c r="AC1237" s="1008"/>
      <c r="AD1237" s="1008"/>
      <c r="AE1237" s="1008"/>
      <c r="AF1237" s="1008"/>
      <c r="AG1237" s="1008"/>
      <c r="AH1237" s="1008"/>
      <c r="AI1237" s="1008"/>
      <c r="AJ1237" s="1008"/>
      <c r="AK1237" s="1008"/>
      <c r="AL1237" s="1008"/>
      <c r="AM1237" s="1008"/>
      <c r="AN1237" s="1008"/>
      <c r="AO1237" s="1008"/>
      <c r="AP1237" s="1008"/>
      <c r="AQ1237" s="1008"/>
      <c r="AR1237" s="1008"/>
      <c r="AS1237" s="1008"/>
      <c r="AT1237" s="1008"/>
      <c r="AU1237" s="1008"/>
      <c r="AV1237" s="1008"/>
      <c r="AW1237" s="1008"/>
      <c r="AX1237" s="1008"/>
    </row>
    <row r="1238" spans="15:50">
      <c r="O1238" s="989"/>
      <c r="P1238" s="1008"/>
      <c r="Q1238" s="1008"/>
      <c r="R1238" s="1008"/>
      <c r="S1238" s="1008"/>
      <c r="T1238" s="1008"/>
      <c r="U1238" s="1008"/>
      <c r="V1238" s="1008"/>
      <c r="W1238" s="1008"/>
      <c r="X1238" s="1008"/>
      <c r="Y1238" s="1008"/>
      <c r="Z1238" s="1008"/>
      <c r="AA1238" s="1008"/>
      <c r="AB1238" s="1008"/>
      <c r="AC1238" s="1008"/>
      <c r="AD1238" s="1008"/>
      <c r="AE1238" s="1008"/>
      <c r="AF1238" s="1008"/>
      <c r="AG1238" s="1008"/>
      <c r="AH1238" s="1008"/>
      <c r="AI1238" s="1008"/>
      <c r="AJ1238" s="1008"/>
      <c r="AK1238" s="1008"/>
      <c r="AL1238" s="1008"/>
      <c r="AM1238" s="1008"/>
      <c r="AN1238" s="1008"/>
      <c r="AO1238" s="1008"/>
      <c r="AP1238" s="1008"/>
      <c r="AQ1238" s="1008"/>
      <c r="AR1238" s="1008"/>
      <c r="AS1238" s="1008"/>
      <c r="AT1238" s="1008"/>
      <c r="AU1238" s="1008"/>
      <c r="AV1238" s="1008"/>
      <c r="AW1238" s="1008"/>
      <c r="AX1238" s="1008"/>
    </row>
    <row r="1239" spans="15:50">
      <c r="O1239" s="989"/>
      <c r="P1239" s="1008"/>
      <c r="Q1239" s="1008"/>
      <c r="R1239" s="1008"/>
      <c r="S1239" s="1008"/>
      <c r="T1239" s="1008"/>
      <c r="U1239" s="1008"/>
      <c r="V1239" s="1008"/>
      <c r="W1239" s="1008"/>
      <c r="X1239" s="1008"/>
      <c r="Y1239" s="1008"/>
      <c r="Z1239" s="1008"/>
      <c r="AA1239" s="1008"/>
      <c r="AB1239" s="1008"/>
      <c r="AC1239" s="1008"/>
      <c r="AD1239" s="1008"/>
      <c r="AE1239" s="1008"/>
      <c r="AF1239" s="1008"/>
      <c r="AG1239" s="1008"/>
      <c r="AH1239" s="1008"/>
      <c r="AI1239" s="1008"/>
      <c r="AJ1239" s="1008"/>
      <c r="AK1239" s="1008"/>
      <c r="AL1239" s="1008"/>
      <c r="AM1239" s="1008"/>
      <c r="AN1239" s="1008"/>
      <c r="AO1239" s="1008"/>
      <c r="AP1239" s="1008"/>
      <c r="AQ1239" s="1008"/>
      <c r="AR1239" s="1008"/>
      <c r="AS1239" s="1008"/>
      <c r="AT1239" s="1008"/>
      <c r="AU1239" s="1008"/>
      <c r="AV1239" s="1008"/>
      <c r="AW1239" s="1008"/>
      <c r="AX1239" s="1008"/>
    </row>
    <row r="1240" spans="15:50">
      <c r="O1240" s="989"/>
      <c r="P1240" s="1008"/>
      <c r="Q1240" s="1008"/>
      <c r="R1240" s="1008"/>
      <c r="S1240" s="1008"/>
      <c r="T1240" s="1008"/>
      <c r="U1240" s="1008"/>
      <c r="V1240" s="1008"/>
      <c r="W1240" s="1008"/>
      <c r="X1240" s="1008"/>
      <c r="Y1240" s="1008"/>
      <c r="Z1240" s="1008"/>
      <c r="AA1240" s="1008"/>
      <c r="AB1240" s="1008"/>
      <c r="AC1240" s="1008"/>
      <c r="AD1240" s="1008"/>
      <c r="AE1240" s="1008"/>
      <c r="AF1240" s="1008"/>
      <c r="AG1240" s="1008"/>
      <c r="AH1240" s="1008"/>
      <c r="AI1240" s="1008"/>
      <c r="AJ1240" s="1008"/>
      <c r="AK1240" s="1008"/>
      <c r="AL1240" s="1008"/>
      <c r="AM1240" s="1008"/>
      <c r="AN1240" s="1008"/>
      <c r="AO1240" s="1008"/>
      <c r="AP1240" s="1008"/>
      <c r="AQ1240" s="1008"/>
      <c r="AR1240" s="1008"/>
      <c r="AS1240" s="1008"/>
      <c r="AT1240" s="1008"/>
      <c r="AU1240" s="1008"/>
      <c r="AV1240" s="1008"/>
      <c r="AW1240" s="1008"/>
      <c r="AX1240" s="1008"/>
    </row>
    <row r="1241" spans="15:50">
      <c r="O1241" s="989"/>
      <c r="P1241" s="1008"/>
      <c r="Q1241" s="1008"/>
      <c r="R1241" s="1008"/>
      <c r="S1241" s="1008"/>
      <c r="T1241" s="1008"/>
      <c r="U1241" s="1008"/>
      <c r="V1241" s="1008"/>
      <c r="W1241" s="1008"/>
      <c r="X1241" s="1008"/>
      <c r="Y1241" s="1008"/>
      <c r="Z1241" s="1008"/>
      <c r="AA1241" s="1008"/>
      <c r="AB1241" s="1008"/>
      <c r="AC1241" s="1008"/>
      <c r="AD1241" s="1008"/>
      <c r="AE1241" s="1008"/>
      <c r="AF1241" s="1008"/>
      <c r="AG1241" s="1008"/>
      <c r="AH1241" s="1008"/>
      <c r="AI1241" s="1008"/>
      <c r="AJ1241" s="1008"/>
      <c r="AK1241" s="1008"/>
      <c r="AL1241" s="1008"/>
      <c r="AM1241" s="1008"/>
      <c r="AN1241" s="1008"/>
      <c r="AO1241" s="1008"/>
      <c r="AP1241" s="1008"/>
      <c r="AQ1241" s="1008"/>
      <c r="AR1241" s="1008"/>
      <c r="AS1241" s="1008"/>
      <c r="AT1241" s="1008"/>
      <c r="AU1241" s="1008"/>
      <c r="AV1241" s="1008"/>
      <c r="AW1241" s="1008"/>
      <c r="AX1241" s="1008"/>
    </row>
    <row r="1242" spans="15:50">
      <c r="O1242" s="989"/>
      <c r="P1242" s="1008"/>
      <c r="Q1242" s="1008"/>
      <c r="R1242" s="1008"/>
      <c r="S1242" s="1008"/>
      <c r="T1242" s="1008"/>
      <c r="U1242" s="1008"/>
      <c r="V1242" s="1008"/>
      <c r="W1242" s="1008"/>
      <c r="X1242" s="1008"/>
      <c r="Y1242" s="1008"/>
      <c r="Z1242" s="1008"/>
      <c r="AA1242" s="1008"/>
      <c r="AB1242" s="1008"/>
      <c r="AC1242" s="1008"/>
      <c r="AD1242" s="1008"/>
      <c r="AE1242" s="1008"/>
      <c r="AF1242" s="1008"/>
      <c r="AG1242" s="1008"/>
      <c r="AH1242" s="1008"/>
      <c r="AI1242" s="1008"/>
      <c r="AJ1242" s="1008"/>
      <c r="AK1242" s="1008"/>
      <c r="AL1242" s="1008"/>
      <c r="AM1242" s="1008"/>
      <c r="AN1242" s="1008"/>
      <c r="AO1242" s="1008"/>
      <c r="AP1242" s="1008"/>
      <c r="AQ1242" s="1008"/>
      <c r="AR1242" s="1008"/>
      <c r="AS1242" s="1008"/>
      <c r="AT1242" s="1008"/>
      <c r="AU1242" s="1008"/>
      <c r="AV1242" s="1008"/>
      <c r="AW1242" s="1008"/>
      <c r="AX1242" s="1008"/>
    </row>
    <row r="1243" spans="15:50">
      <c r="O1243" s="989"/>
      <c r="P1243" s="1008"/>
      <c r="Q1243" s="1008"/>
      <c r="R1243" s="1008"/>
      <c r="S1243" s="1008"/>
      <c r="T1243" s="1008"/>
      <c r="U1243" s="1008"/>
      <c r="V1243" s="1008"/>
      <c r="W1243" s="1008"/>
      <c r="X1243" s="1008"/>
      <c r="Y1243" s="1008"/>
      <c r="Z1243" s="1008"/>
      <c r="AA1243" s="1008"/>
      <c r="AB1243" s="1008"/>
      <c r="AC1243" s="1008"/>
      <c r="AD1243" s="1008"/>
      <c r="AE1243" s="1008"/>
      <c r="AF1243" s="1008"/>
      <c r="AG1243" s="1008"/>
      <c r="AH1243" s="1008"/>
      <c r="AI1243" s="1008"/>
      <c r="AJ1243" s="1008"/>
      <c r="AK1243" s="1008"/>
      <c r="AL1243" s="1008"/>
      <c r="AM1243" s="1008"/>
      <c r="AN1243" s="1008"/>
      <c r="AO1243" s="1008"/>
      <c r="AP1243" s="1008"/>
      <c r="AQ1243" s="1008"/>
      <c r="AR1243" s="1008"/>
      <c r="AS1243" s="1008"/>
      <c r="AT1243" s="1008"/>
      <c r="AU1243" s="1008"/>
      <c r="AV1243" s="1008"/>
      <c r="AW1243" s="1008"/>
      <c r="AX1243" s="1008"/>
    </row>
    <row r="1244" spans="15:50">
      <c r="O1244" s="989"/>
      <c r="P1244" s="1008"/>
      <c r="Q1244" s="1008"/>
      <c r="R1244" s="1008"/>
      <c r="S1244" s="1008"/>
      <c r="T1244" s="1008"/>
      <c r="U1244" s="1008"/>
      <c r="V1244" s="1008"/>
      <c r="W1244" s="1008"/>
      <c r="X1244" s="1008"/>
      <c r="Y1244" s="1008"/>
      <c r="Z1244" s="1008"/>
      <c r="AA1244" s="1008"/>
      <c r="AB1244" s="1008"/>
      <c r="AC1244" s="1008"/>
      <c r="AD1244" s="1008"/>
      <c r="AE1244" s="1008"/>
      <c r="AF1244" s="1008"/>
      <c r="AG1244" s="1008"/>
      <c r="AH1244" s="1008"/>
      <c r="AI1244" s="1008"/>
      <c r="AJ1244" s="1008"/>
      <c r="AK1244" s="1008"/>
      <c r="AL1244" s="1008"/>
      <c r="AM1244" s="1008"/>
      <c r="AN1244" s="1008"/>
      <c r="AO1244" s="1008"/>
      <c r="AP1244" s="1008"/>
      <c r="AQ1244" s="1008"/>
      <c r="AR1244" s="1008"/>
      <c r="AS1244" s="1008"/>
      <c r="AT1244" s="1008"/>
      <c r="AU1244" s="1008"/>
      <c r="AV1244" s="1008"/>
      <c r="AW1244" s="1008"/>
      <c r="AX1244" s="1008"/>
    </row>
    <row r="1245" spans="15:50">
      <c r="O1245" s="989"/>
      <c r="P1245" s="1008"/>
      <c r="Q1245" s="1008"/>
      <c r="R1245" s="1008"/>
      <c r="S1245" s="1008"/>
      <c r="T1245" s="1008"/>
      <c r="U1245" s="1008"/>
      <c r="V1245" s="1008"/>
      <c r="W1245" s="1008"/>
      <c r="X1245" s="1008"/>
      <c r="Y1245" s="1008"/>
      <c r="Z1245" s="1008"/>
      <c r="AA1245" s="1008"/>
      <c r="AB1245" s="1008"/>
      <c r="AC1245" s="1008"/>
      <c r="AD1245" s="1008"/>
      <c r="AE1245" s="1008"/>
      <c r="AF1245" s="1008"/>
      <c r="AG1245" s="1008"/>
      <c r="AH1245" s="1008"/>
      <c r="AI1245" s="1008"/>
      <c r="AJ1245" s="1008"/>
      <c r="AK1245" s="1008"/>
      <c r="AL1245" s="1008"/>
      <c r="AM1245" s="1008"/>
      <c r="AN1245" s="1008"/>
      <c r="AO1245" s="1008"/>
      <c r="AP1245" s="1008"/>
      <c r="AQ1245" s="1008"/>
      <c r="AR1245" s="1008"/>
      <c r="AS1245" s="1008"/>
      <c r="AT1245" s="1008"/>
      <c r="AU1245" s="1008"/>
      <c r="AV1245" s="1008"/>
      <c r="AW1245" s="1008"/>
      <c r="AX1245" s="1008"/>
    </row>
    <row r="1246" spans="15:50">
      <c r="O1246" s="989"/>
      <c r="P1246" s="1008"/>
      <c r="Q1246" s="1008"/>
      <c r="R1246" s="1008"/>
      <c r="S1246" s="1008"/>
      <c r="T1246" s="1008"/>
      <c r="U1246" s="1008"/>
      <c r="V1246" s="1008"/>
      <c r="W1246" s="1008"/>
      <c r="X1246" s="1008"/>
      <c r="Y1246" s="1008"/>
      <c r="Z1246" s="1008"/>
      <c r="AA1246" s="1008"/>
      <c r="AB1246" s="1008"/>
      <c r="AC1246" s="1008"/>
      <c r="AD1246" s="1008"/>
      <c r="AE1246" s="1008"/>
      <c r="AF1246" s="1008"/>
      <c r="AG1246" s="1008"/>
      <c r="AH1246" s="1008"/>
      <c r="AI1246" s="1008"/>
      <c r="AJ1246" s="1008"/>
      <c r="AK1246" s="1008"/>
      <c r="AL1246" s="1008"/>
      <c r="AM1246" s="1008"/>
      <c r="AN1246" s="1008"/>
      <c r="AO1246" s="1008"/>
      <c r="AP1246" s="1008"/>
      <c r="AQ1246" s="1008"/>
      <c r="AR1246" s="1008"/>
      <c r="AS1246" s="1008"/>
      <c r="AT1246" s="1008"/>
      <c r="AU1246" s="1008"/>
      <c r="AV1246" s="1008"/>
      <c r="AW1246" s="1008"/>
      <c r="AX1246" s="1008"/>
    </row>
    <row r="1247" spans="15:50">
      <c r="O1247" s="989"/>
      <c r="P1247" s="1008"/>
      <c r="Q1247" s="1008"/>
      <c r="R1247" s="1008"/>
      <c r="S1247" s="1008"/>
      <c r="T1247" s="1008"/>
      <c r="U1247" s="1008"/>
      <c r="V1247" s="1008"/>
      <c r="W1247" s="1008"/>
      <c r="X1247" s="1008"/>
      <c r="Y1247" s="1008"/>
      <c r="Z1247" s="1008"/>
      <c r="AA1247" s="1008"/>
      <c r="AB1247" s="1008"/>
      <c r="AC1247" s="1008"/>
      <c r="AD1247" s="1008"/>
      <c r="AE1247" s="1008"/>
      <c r="AF1247" s="1008"/>
      <c r="AG1247" s="1008"/>
      <c r="AH1247" s="1008"/>
      <c r="AI1247" s="1008"/>
      <c r="AJ1247" s="1008"/>
      <c r="AK1247" s="1008"/>
      <c r="AL1247" s="1008"/>
      <c r="AM1247" s="1008"/>
      <c r="AN1247" s="1008"/>
      <c r="AO1247" s="1008"/>
      <c r="AP1247" s="1008"/>
      <c r="AQ1247" s="1008"/>
      <c r="AR1247" s="1008"/>
      <c r="AS1247" s="1008"/>
      <c r="AT1247" s="1008"/>
      <c r="AU1247" s="1008"/>
      <c r="AV1247" s="1008"/>
      <c r="AW1247" s="1008"/>
      <c r="AX1247" s="1008"/>
    </row>
    <row r="1248" spans="15:50">
      <c r="O1248" s="989"/>
      <c r="P1248" s="1008"/>
      <c r="Q1248" s="1008"/>
      <c r="R1248" s="1008"/>
      <c r="S1248" s="1008"/>
      <c r="T1248" s="1008"/>
      <c r="U1248" s="1008"/>
      <c r="V1248" s="1008"/>
      <c r="W1248" s="1008"/>
      <c r="X1248" s="1008"/>
      <c r="Y1248" s="1008"/>
      <c r="Z1248" s="1008"/>
      <c r="AA1248" s="1008"/>
      <c r="AB1248" s="1008"/>
      <c r="AC1248" s="1008"/>
      <c r="AD1248" s="1008"/>
      <c r="AE1248" s="1008"/>
      <c r="AF1248" s="1008"/>
      <c r="AG1248" s="1008"/>
      <c r="AH1248" s="1008"/>
      <c r="AI1248" s="1008"/>
      <c r="AJ1248" s="1008"/>
      <c r="AK1248" s="1008"/>
      <c r="AL1248" s="1008"/>
      <c r="AM1248" s="1008"/>
      <c r="AN1248" s="1008"/>
      <c r="AO1248" s="1008"/>
      <c r="AP1248" s="1008"/>
      <c r="AQ1248" s="1008"/>
      <c r="AR1248" s="1008"/>
      <c r="AS1248" s="1008"/>
      <c r="AT1248" s="1008"/>
      <c r="AU1248" s="1008"/>
      <c r="AV1248" s="1008"/>
      <c r="AW1248" s="1008"/>
      <c r="AX1248" s="1008"/>
    </row>
    <row r="1249" spans="15:50">
      <c r="O1249" s="989"/>
      <c r="P1249" s="1008"/>
      <c r="Q1249" s="1008"/>
      <c r="R1249" s="1008"/>
      <c r="S1249" s="1008"/>
      <c r="T1249" s="1008"/>
      <c r="U1249" s="1008"/>
      <c r="V1249" s="1008"/>
      <c r="W1249" s="1008"/>
      <c r="X1249" s="1008"/>
      <c r="Y1249" s="1008"/>
      <c r="Z1249" s="1008"/>
      <c r="AA1249" s="1008"/>
      <c r="AB1249" s="1008"/>
      <c r="AC1249" s="1008"/>
      <c r="AD1249" s="1008"/>
      <c r="AE1249" s="1008"/>
      <c r="AF1249" s="1008"/>
      <c r="AG1249" s="1008"/>
      <c r="AH1249" s="1008"/>
      <c r="AI1249" s="1008"/>
      <c r="AJ1249" s="1008"/>
      <c r="AK1249" s="1008"/>
      <c r="AL1249" s="1008"/>
      <c r="AM1249" s="1008"/>
      <c r="AN1249" s="1008"/>
      <c r="AO1249" s="1008"/>
      <c r="AP1249" s="1008"/>
      <c r="AQ1249" s="1008"/>
      <c r="AR1249" s="1008"/>
      <c r="AS1249" s="1008"/>
      <c r="AT1249" s="1008"/>
      <c r="AU1249" s="1008"/>
      <c r="AV1249" s="1008"/>
      <c r="AW1249" s="1008"/>
      <c r="AX1249" s="1008"/>
    </row>
    <row r="1250" spans="15:50">
      <c r="O1250" s="989"/>
      <c r="P1250" s="1008"/>
      <c r="Q1250" s="1008"/>
      <c r="R1250" s="1008"/>
      <c r="S1250" s="1008"/>
      <c r="T1250" s="1008"/>
      <c r="U1250" s="1008"/>
      <c r="V1250" s="1008"/>
      <c r="W1250" s="1008"/>
      <c r="X1250" s="1008"/>
      <c r="Y1250" s="1008"/>
      <c r="Z1250" s="1008"/>
      <c r="AA1250" s="1008"/>
      <c r="AB1250" s="1008"/>
      <c r="AC1250" s="1008"/>
      <c r="AD1250" s="1008"/>
      <c r="AE1250" s="1008"/>
      <c r="AF1250" s="1008"/>
      <c r="AG1250" s="1008"/>
      <c r="AH1250" s="1008"/>
      <c r="AI1250" s="1008"/>
      <c r="AJ1250" s="1008"/>
      <c r="AK1250" s="1008"/>
      <c r="AL1250" s="1008"/>
      <c r="AM1250" s="1008"/>
      <c r="AN1250" s="1008"/>
      <c r="AO1250" s="1008"/>
      <c r="AP1250" s="1008"/>
      <c r="AQ1250" s="1008"/>
      <c r="AR1250" s="1008"/>
      <c r="AS1250" s="1008"/>
      <c r="AT1250" s="1008"/>
      <c r="AU1250" s="1008"/>
      <c r="AV1250" s="1008"/>
      <c r="AW1250" s="1008"/>
      <c r="AX1250" s="1008"/>
    </row>
    <row r="1251" spans="15:50">
      <c r="O1251" s="989"/>
      <c r="P1251" s="1008"/>
      <c r="Q1251" s="1008"/>
      <c r="R1251" s="1008"/>
      <c r="S1251" s="1008"/>
      <c r="T1251" s="1008"/>
      <c r="U1251" s="1008"/>
      <c r="V1251" s="1008"/>
      <c r="W1251" s="1008"/>
      <c r="X1251" s="1008"/>
      <c r="Y1251" s="1008"/>
      <c r="Z1251" s="1008"/>
      <c r="AA1251" s="1008"/>
      <c r="AB1251" s="1008"/>
      <c r="AC1251" s="1008"/>
      <c r="AD1251" s="1008"/>
      <c r="AE1251" s="1008"/>
      <c r="AF1251" s="1008"/>
      <c r="AG1251" s="1008"/>
      <c r="AH1251" s="1008"/>
      <c r="AI1251" s="1008"/>
      <c r="AJ1251" s="1008"/>
      <c r="AK1251" s="1008"/>
      <c r="AL1251" s="1008"/>
      <c r="AM1251" s="1008"/>
      <c r="AN1251" s="1008"/>
      <c r="AO1251" s="1008"/>
      <c r="AP1251" s="1008"/>
      <c r="AQ1251" s="1008"/>
      <c r="AR1251" s="1008"/>
      <c r="AS1251" s="1008"/>
      <c r="AT1251" s="1008"/>
      <c r="AU1251" s="1008"/>
      <c r="AV1251" s="1008"/>
      <c r="AW1251" s="1008"/>
      <c r="AX1251" s="1008"/>
    </row>
    <row r="1252" spans="15:50">
      <c r="O1252" s="989"/>
      <c r="P1252" s="1008"/>
      <c r="Q1252" s="1008"/>
      <c r="R1252" s="1008"/>
      <c r="S1252" s="1008"/>
      <c r="T1252" s="1008"/>
      <c r="U1252" s="1008"/>
      <c r="V1252" s="1008"/>
      <c r="W1252" s="1008"/>
      <c r="X1252" s="1008"/>
      <c r="Y1252" s="1008"/>
      <c r="Z1252" s="1008"/>
      <c r="AA1252" s="1008"/>
      <c r="AB1252" s="1008"/>
      <c r="AC1252" s="1008"/>
      <c r="AD1252" s="1008"/>
      <c r="AE1252" s="1008"/>
      <c r="AF1252" s="1008"/>
      <c r="AG1252" s="1008"/>
      <c r="AH1252" s="1008"/>
      <c r="AI1252" s="1008"/>
      <c r="AJ1252" s="1008"/>
      <c r="AK1252" s="1008"/>
      <c r="AL1252" s="1008"/>
      <c r="AM1252" s="1008"/>
      <c r="AN1252" s="1008"/>
      <c r="AO1252" s="1008"/>
      <c r="AP1252" s="1008"/>
      <c r="AQ1252" s="1008"/>
      <c r="AR1252" s="1008"/>
      <c r="AS1252" s="1008"/>
      <c r="AT1252" s="1008"/>
      <c r="AU1252" s="1008"/>
      <c r="AV1252" s="1008"/>
      <c r="AW1252" s="1008"/>
      <c r="AX1252" s="1008"/>
    </row>
    <row r="1253" spans="15:50">
      <c r="O1253" s="989"/>
      <c r="P1253" s="1008"/>
      <c r="Q1253" s="1008"/>
      <c r="R1253" s="1008"/>
      <c r="S1253" s="1008"/>
      <c r="T1253" s="1008"/>
      <c r="U1253" s="1008"/>
      <c r="V1253" s="1008"/>
      <c r="W1253" s="1008"/>
      <c r="X1253" s="1008"/>
      <c r="Y1253" s="1008"/>
      <c r="Z1253" s="1008"/>
      <c r="AA1253" s="1008"/>
      <c r="AB1253" s="1008"/>
      <c r="AC1253" s="1008"/>
      <c r="AD1253" s="1008"/>
      <c r="AE1253" s="1008"/>
      <c r="AF1253" s="1008"/>
      <c r="AG1253" s="1008"/>
      <c r="AH1253" s="1008"/>
      <c r="AI1253" s="1008"/>
      <c r="AJ1253" s="1008"/>
      <c r="AK1253" s="1008"/>
      <c r="AL1253" s="1008"/>
      <c r="AM1253" s="1008"/>
      <c r="AN1253" s="1008"/>
      <c r="AO1253" s="1008"/>
      <c r="AP1253" s="1008"/>
      <c r="AQ1253" s="1008"/>
      <c r="AR1253" s="1008"/>
      <c r="AS1253" s="1008"/>
      <c r="AT1253" s="1008"/>
      <c r="AU1253" s="1008"/>
      <c r="AV1253" s="1008"/>
      <c r="AW1253" s="1008"/>
      <c r="AX1253" s="1008"/>
    </row>
    <row r="1254" spans="15:50">
      <c r="O1254" s="989"/>
      <c r="P1254" s="1008"/>
      <c r="Q1254" s="1008"/>
      <c r="R1254" s="1008"/>
      <c r="S1254" s="1008"/>
      <c r="T1254" s="1008"/>
      <c r="U1254" s="1008"/>
      <c r="V1254" s="1008"/>
      <c r="W1254" s="1008"/>
      <c r="X1254" s="1008"/>
      <c r="Y1254" s="1008"/>
      <c r="Z1254" s="1008"/>
      <c r="AA1254" s="1008"/>
      <c r="AB1254" s="1008"/>
      <c r="AC1254" s="1008"/>
      <c r="AD1254" s="1008"/>
      <c r="AE1254" s="1008"/>
      <c r="AF1254" s="1008"/>
      <c r="AG1254" s="1008"/>
      <c r="AH1254" s="1008"/>
      <c r="AI1254" s="1008"/>
      <c r="AJ1254" s="1008"/>
      <c r="AK1254" s="1008"/>
      <c r="AL1254" s="1008"/>
      <c r="AM1254" s="1008"/>
      <c r="AN1254" s="1008"/>
      <c r="AO1254" s="1008"/>
      <c r="AP1254" s="1008"/>
      <c r="AQ1254" s="1008"/>
      <c r="AR1254" s="1008"/>
      <c r="AS1254" s="1008"/>
      <c r="AT1254" s="1008"/>
      <c r="AU1254" s="1008"/>
      <c r="AV1254" s="1008"/>
      <c r="AW1254" s="1008"/>
      <c r="AX1254" s="1008"/>
    </row>
    <row r="1255" spans="15:50">
      <c r="O1255" s="989"/>
      <c r="P1255" s="1008"/>
      <c r="Q1255" s="1008"/>
      <c r="R1255" s="1008"/>
      <c r="S1255" s="1008"/>
      <c r="T1255" s="1008"/>
      <c r="U1255" s="1008"/>
      <c r="V1255" s="1008"/>
      <c r="W1255" s="1008"/>
      <c r="X1255" s="1008"/>
      <c r="Y1255" s="1008"/>
      <c r="Z1255" s="1008"/>
      <c r="AA1255" s="1008"/>
      <c r="AB1255" s="1008"/>
      <c r="AC1255" s="1008"/>
      <c r="AD1255" s="1008"/>
      <c r="AE1255" s="1008"/>
      <c r="AF1255" s="1008"/>
      <c r="AG1255" s="1008"/>
      <c r="AH1255" s="1008"/>
      <c r="AI1255" s="1008"/>
      <c r="AJ1255" s="1008"/>
      <c r="AK1255" s="1008"/>
      <c r="AL1255" s="1008"/>
      <c r="AM1255" s="1008"/>
      <c r="AN1255" s="1008"/>
      <c r="AO1255" s="1008"/>
      <c r="AP1255" s="1008"/>
      <c r="AQ1255" s="1008"/>
      <c r="AR1255" s="1008"/>
      <c r="AS1255" s="1008"/>
      <c r="AT1255" s="1008"/>
      <c r="AU1255" s="1008"/>
      <c r="AV1255" s="1008"/>
      <c r="AW1255" s="1008"/>
      <c r="AX1255" s="1008"/>
    </row>
    <row r="1256" spans="15:50">
      <c r="O1256" s="989"/>
      <c r="P1256" s="1008"/>
      <c r="Q1256" s="1008"/>
      <c r="R1256" s="1008"/>
      <c r="S1256" s="1008"/>
      <c r="T1256" s="1008"/>
      <c r="U1256" s="1008"/>
      <c r="V1256" s="1008"/>
      <c r="W1256" s="1008"/>
      <c r="X1256" s="1008"/>
      <c r="Y1256" s="1008"/>
      <c r="Z1256" s="1008"/>
      <c r="AA1256" s="1008"/>
      <c r="AB1256" s="1008"/>
      <c r="AC1256" s="1008"/>
      <c r="AD1256" s="1008"/>
      <c r="AE1256" s="1008"/>
      <c r="AF1256" s="1008"/>
      <c r="AG1256" s="1008"/>
      <c r="AH1256" s="1008"/>
      <c r="AI1256" s="1008"/>
      <c r="AJ1256" s="1008"/>
      <c r="AK1256" s="1008"/>
      <c r="AL1256" s="1008"/>
      <c r="AM1256" s="1008"/>
      <c r="AN1256" s="1008"/>
      <c r="AO1256" s="1008"/>
      <c r="AP1256" s="1008"/>
      <c r="AQ1256" s="1008"/>
      <c r="AR1256" s="1008"/>
      <c r="AS1256" s="1008"/>
      <c r="AT1256" s="1008"/>
      <c r="AU1256" s="1008"/>
      <c r="AV1256" s="1008"/>
      <c r="AW1256" s="1008"/>
      <c r="AX1256" s="1008"/>
    </row>
    <row r="1257" spans="15:50">
      <c r="O1257" s="989"/>
      <c r="P1257" s="1008"/>
      <c r="Q1257" s="1008"/>
      <c r="R1257" s="1008"/>
      <c r="S1257" s="1008"/>
      <c r="T1257" s="1008"/>
      <c r="U1257" s="1008"/>
      <c r="V1257" s="1008"/>
      <c r="W1257" s="1008"/>
      <c r="X1257" s="1008"/>
      <c r="Y1257" s="1008"/>
      <c r="Z1257" s="1008"/>
      <c r="AA1257" s="1008"/>
      <c r="AB1257" s="1008"/>
      <c r="AC1257" s="1008"/>
      <c r="AD1257" s="1008"/>
      <c r="AE1257" s="1008"/>
      <c r="AF1257" s="1008"/>
      <c r="AG1257" s="1008"/>
      <c r="AH1257" s="1008"/>
      <c r="AI1257" s="1008"/>
      <c r="AJ1257" s="1008"/>
      <c r="AK1257" s="1008"/>
      <c r="AL1257" s="1008"/>
      <c r="AM1257" s="1008"/>
      <c r="AN1257" s="1008"/>
      <c r="AO1257" s="1008"/>
      <c r="AP1257" s="1008"/>
      <c r="AQ1257" s="1008"/>
      <c r="AR1257" s="1008"/>
      <c r="AS1257" s="1008"/>
      <c r="AT1257" s="1008"/>
      <c r="AU1257" s="1008"/>
      <c r="AV1257" s="1008"/>
      <c r="AW1257" s="1008"/>
      <c r="AX1257" s="1008"/>
    </row>
    <row r="1258" spans="15:50">
      <c r="O1258" s="989"/>
      <c r="P1258" s="1008"/>
      <c r="Q1258" s="1008"/>
      <c r="R1258" s="1008"/>
      <c r="S1258" s="1008"/>
      <c r="T1258" s="1008"/>
      <c r="U1258" s="1008"/>
      <c r="V1258" s="1008"/>
      <c r="W1258" s="1008"/>
      <c r="X1258" s="1008"/>
      <c r="Y1258" s="1008"/>
      <c r="Z1258" s="1008"/>
      <c r="AA1258" s="1008"/>
      <c r="AB1258" s="1008"/>
      <c r="AC1258" s="1008"/>
      <c r="AD1258" s="1008"/>
      <c r="AE1258" s="1008"/>
      <c r="AF1258" s="1008"/>
      <c r="AG1258" s="1008"/>
      <c r="AH1258" s="1008"/>
      <c r="AI1258" s="1008"/>
      <c r="AJ1258" s="1008"/>
      <c r="AK1258" s="1008"/>
      <c r="AL1258" s="1008"/>
      <c r="AM1258" s="1008"/>
      <c r="AN1258" s="1008"/>
      <c r="AO1258" s="1008"/>
      <c r="AP1258" s="1008"/>
      <c r="AQ1258" s="1008"/>
      <c r="AR1258" s="1008"/>
      <c r="AS1258" s="1008"/>
      <c r="AT1258" s="1008"/>
      <c r="AU1258" s="1008"/>
      <c r="AV1258" s="1008"/>
      <c r="AW1258" s="1008"/>
      <c r="AX1258" s="1008"/>
    </row>
    <row r="1259" spans="15:50">
      <c r="O1259" s="989"/>
      <c r="P1259" s="1008"/>
      <c r="Q1259" s="1008"/>
      <c r="R1259" s="1008"/>
      <c r="S1259" s="1008"/>
      <c r="T1259" s="1008"/>
      <c r="U1259" s="1008"/>
      <c r="V1259" s="1008"/>
      <c r="W1259" s="1008"/>
      <c r="X1259" s="1008"/>
      <c r="Y1259" s="1008"/>
      <c r="Z1259" s="1008"/>
      <c r="AA1259" s="1008"/>
      <c r="AB1259" s="1008"/>
      <c r="AC1259" s="1008"/>
      <c r="AD1259" s="1008"/>
      <c r="AE1259" s="1008"/>
      <c r="AF1259" s="1008"/>
      <c r="AG1259" s="1008"/>
      <c r="AH1259" s="1008"/>
      <c r="AI1259" s="1008"/>
      <c r="AJ1259" s="1008"/>
      <c r="AK1259" s="1008"/>
      <c r="AL1259" s="1008"/>
      <c r="AM1259" s="1008"/>
      <c r="AN1259" s="1008"/>
      <c r="AO1259" s="1008"/>
      <c r="AP1259" s="1008"/>
      <c r="AQ1259" s="1008"/>
      <c r="AR1259" s="1008"/>
      <c r="AS1259" s="1008"/>
      <c r="AT1259" s="1008"/>
      <c r="AU1259" s="1008"/>
      <c r="AV1259" s="1008"/>
      <c r="AW1259" s="1008"/>
      <c r="AX1259" s="1008"/>
    </row>
    <row r="1260" spans="15:50">
      <c r="O1260" s="989"/>
      <c r="P1260" s="1008"/>
      <c r="Q1260" s="1008"/>
      <c r="R1260" s="1008"/>
      <c r="S1260" s="1008"/>
      <c r="T1260" s="1008"/>
      <c r="U1260" s="1008"/>
      <c r="V1260" s="1008"/>
      <c r="W1260" s="1008"/>
      <c r="X1260" s="1008"/>
      <c r="Y1260" s="1008"/>
      <c r="Z1260" s="1008"/>
      <c r="AA1260" s="1008"/>
      <c r="AB1260" s="1008"/>
      <c r="AC1260" s="1008"/>
      <c r="AD1260" s="1008"/>
      <c r="AE1260" s="1008"/>
      <c r="AF1260" s="1008"/>
      <c r="AG1260" s="1008"/>
      <c r="AH1260" s="1008"/>
      <c r="AI1260" s="1008"/>
      <c r="AJ1260" s="1008"/>
      <c r="AK1260" s="1008"/>
      <c r="AL1260" s="1008"/>
      <c r="AM1260" s="1008"/>
      <c r="AN1260" s="1008"/>
      <c r="AO1260" s="1008"/>
      <c r="AP1260" s="1008"/>
      <c r="AQ1260" s="1008"/>
      <c r="AR1260" s="1008"/>
      <c r="AS1260" s="1008"/>
      <c r="AT1260" s="1008"/>
      <c r="AU1260" s="1008"/>
      <c r="AV1260" s="1008"/>
      <c r="AW1260" s="1008"/>
      <c r="AX1260" s="1008"/>
    </row>
    <row r="1261" spans="15:50">
      <c r="O1261" s="989"/>
      <c r="P1261" s="1008"/>
      <c r="Q1261" s="1008"/>
      <c r="R1261" s="1008"/>
      <c r="S1261" s="1008"/>
      <c r="T1261" s="1008"/>
      <c r="U1261" s="1008"/>
      <c r="V1261" s="1008"/>
      <c r="W1261" s="1008"/>
      <c r="X1261" s="1008"/>
      <c r="Y1261" s="1008"/>
      <c r="Z1261" s="1008"/>
      <c r="AA1261" s="1008"/>
      <c r="AB1261" s="1008"/>
      <c r="AC1261" s="1008"/>
      <c r="AD1261" s="1008"/>
      <c r="AE1261" s="1008"/>
      <c r="AF1261" s="1008"/>
      <c r="AG1261" s="1008"/>
      <c r="AH1261" s="1008"/>
      <c r="AI1261" s="1008"/>
      <c r="AJ1261" s="1008"/>
      <c r="AK1261" s="1008"/>
      <c r="AL1261" s="1008"/>
      <c r="AM1261" s="1008"/>
      <c r="AN1261" s="1008"/>
      <c r="AO1261" s="1008"/>
      <c r="AP1261" s="1008"/>
      <c r="AQ1261" s="1008"/>
      <c r="AR1261" s="1008"/>
      <c r="AS1261" s="1008"/>
      <c r="AT1261" s="1008"/>
      <c r="AU1261" s="1008"/>
      <c r="AV1261" s="1008"/>
      <c r="AW1261" s="1008"/>
      <c r="AX1261" s="1008"/>
    </row>
    <row r="1262" spans="15:50">
      <c r="O1262" s="989"/>
      <c r="P1262" s="1008"/>
      <c r="Q1262" s="1008"/>
      <c r="R1262" s="1008"/>
      <c r="S1262" s="1008"/>
      <c r="T1262" s="1008"/>
      <c r="U1262" s="1008"/>
      <c r="V1262" s="1008"/>
      <c r="W1262" s="1008"/>
      <c r="X1262" s="1008"/>
      <c r="Y1262" s="1008"/>
      <c r="Z1262" s="1008"/>
      <c r="AA1262" s="1008"/>
      <c r="AB1262" s="1008"/>
      <c r="AC1262" s="1008"/>
      <c r="AD1262" s="1008"/>
      <c r="AE1262" s="1008"/>
      <c r="AF1262" s="1008"/>
      <c r="AG1262" s="1008"/>
      <c r="AH1262" s="1008"/>
      <c r="AI1262" s="1008"/>
      <c r="AJ1262" s="1008"/>
      <c r="AK1262" s="1008"/>
      <c r="AL1262" s="1008"/>
      <c r="AM1262" s="1008"/>
      <c r="AN1262" s="1008"/>
      <c r="AO1262" s="1008"/>
      <c r="AP1262" s="1008"/>
      <c r="AQ1262" s="1008"/>
      <c r="AR1262" s="1008"/>
      <c r="AS1262" s="1008"/>
      <c r="AT1262" s="1008"/>
      <c r="AU1262" s="1008"/>
      <c r="AV1262" s="1008"/>
      <c r="AW1262" s="1008"/>
      <c r="AX1262" s="1008"/>
    </row>
    <row r="1263" spans="15:50">
      <c r="O1263" s="989"/>
      <c r="P1263" s="1008"/>
      <c r="Q1263" s="1008"/>
      <c r="R1263" s="1008"/>
      <c r="S1263" s="1008"/>
      <c r="T1263" s="1008"/>
      <c r="U1263" s="1008"/>
      <c r="V1263" s="1008"/>
      <c r="W1263" s="1008"/>
      <c r="X1263" s="1008"/>
      <c r="Y1263" s="1008"/>
      <c r="Z1263" s="1008"/>
      <c r="AA1263" s="1008"/>
      <c r="AB1263" s="1008"/>
      <c r="AC1263" s="1008"/>
      <c r="AD1263" s="1008"/>
      <c r="AE1263" s="1008"/>
      <c r="AF1263" s="1008"/>
      <c r="AG1263" s="1008"/>
      <c r="AH1263" s="1008"/>
      <c r="AI1263" s="1008"/>
      <c r="AJ1263" s="1008"/>
      <c r="AK1263" s="1008"/>
      <c r="AL1263" s="1008"/>
      <c r="AM1263" s="1008"/>
      <c r="AN1263" s="1008"/>
      <c r="AO1263" s="1008"/>
      <c r="AP1263" s="1008"/>
      <c r="AQ1263" s="1008"/>
      <c r="AR1263" s="1008"/>
      <c r="AS1263" s="1008"/>
      <c r="AT1263" s="1008"/>
      <c r="AU1263" s="1008"/>
      <c r="AV1263" s="1008"/>
      <c r="AW1263" s="1008"/>
      <c r="AX1263" s="1008"/>
    </row>
    <row r="1264" spans="15:50">
      <c r="O1264" s="989"/>
      <c r="P1264" s="1008"/>
      <c r="Q1264" s="1008"/>
      <c r="R1264" s="1008"/>
      <c r="S1264" s="1008"/>
      <c r="T1264" s="1008"/>
      <c r="U1264" s="1008"/>
      <c r="V1264" s="1008"/>
      <c r="W1264" s="1008"/>
      <c r="X1264" s="1008"/>
      <c r="Y1264" s="1008"/>
      <c r="Z1264" s="1008"/>
      <c r="AA1264" s="1008"/>
      <c r="AB1264" s="1008"/>
      <c r="AC1264" s="1008"/>
      <c r="AD1264" s="1008"/>
      <c r="AE1264" s="1008"/>
      <c r="AF1264" s="1008"/>
      <c r="AG1264" s="1008"/>
      <c r="AH1264" s="1008"/>
      <c r="AI1264" s="1008"/>
      <c r="AJ1264" s="1008"/>
      <c r="AK1264" s="1008"/>
      <c r="AL1264" s="1008"/>
      <c r="AM1264" s="1008"/>
      <c r="AN1264" s="1008"/>
      <c r="AO1264" s="1008"/>
      <c r="AP1264" s="1008"/>
      <c r="AQ1264" s="1008"/>
      <c r="AR1264" s="1008"/>
      <c r="AS1264" s="1008"/>
      <c r="AT1264" s="1008"/>
      <c r="AU1264" s="1008"/>
      <c r="AV1264" s="1008"/>
      <c r="AW1264" s="1008"/>
      <c r="AX1264" s="1008"/>
    </row>
    <row r="1265" spans="15:50">
      <c r="O1265" s="989"/>
      <c r="P1265" s="1008"/>
      <c r="Q1265" s="1008"/>
      <c r="R1265" s="1008"/>
      <c r="S1265" s="1008"/>
      <c r="T1265" s="1008"/>
      <c r="U1265" s="1008"/>
      <c r="V1265" s="1008"/>
      <c r="W1265" s="1008"/>
      <c r="X1265" s="1008"/>
      <c r="Y1265" s="1008"/>
      <c r="Z1265" s="1008"/>
      <c r="AA1265" s="1008"/>
      <c r="AB1265" s="1008"/>
      <c r="AC1265" s="1008"/>
      <c r="AD1265" s="1008"/>
      <c r="AE1265" s="1008"/>
      <c r="AF1265" s="1008"/>
      <c r="AG1265" s="1008"/>
      <c r="AH1265" s="1008"/>
      <c r="AI1265" s="1008"/>
      <c r="AJ1265" s="1008"/>
      <c r="AK1265" s="1008"/>
      <c r="AL1265" s="1008"/>
      <c r="AM1265" s="1008"/>
      <c r="AN1265" s="1008"/>
      <c r="AO1265" s="1008"/>
      <c r="AP1265" s="1008"/>
      <c r="AQ1265" s="1008"/>
      <c r="AR1265" s="1008"/>
      <c r="AS1265" s="1008"/>
      <c r="AT1265" s="1008"/>
      <c r="AU1265" s="1008"/>
      <c r="AV1265" s="1008"/>
      <c r="AW1265" s="1008"/>
      <c r="AX1265" s="1008"/>
    </row>
    <row r="1266" spans="15:50">
      <c r="O1266" s="989"/>
      <c r="P1266" s="1008"/>
      <c r="Q1266" s="1008"/>
      <c r="R1266" s="1008"/>
      <c r="S1266" s="1008"/>
      <c r="T1266" s="1008"/>
      <c r="U1266" s="1008"/>
      <c r="V1266" s="1008"/>
      <c r="W1266" s="1008"/>
      <c r="X1266" s="1008"/>
      <c r="Y1266" s="1008"/>
      <c r="Z1266" s="1008"/>
      <c r="AA1266" s="1008"/>
      <c r="AB1266" s="1008"/>
      <c r="AC1266" s="1008"/>
      <c r="AD1266" s="1008"/>
      <c r="AE1266" s="1008"/>
      <c r="AF1266" s="1008"/>
      <c r="AG1266" s="1008"/>
      <c r="AH1266" s="1008"/>
      <c r="AI1266" s="1008"/>
      <c r="AJ1266" s="1008"/>
      <c r="AK1266" s="1008"/>
      <c r="AL1266" s="1008"/>
      <c r="AM1266" s="1008"/>
      <c r="AN1266" s="1008"/>
      <c r="AO1266" s="1008"/>
      <c r="AP1266" s="1008"/>
      <c r="AQ1266" s="1008"/>
      <c r="AR1266" s="1008"/>
      <c r="AS1266" s="1008"/>
      <c r="AT1266" s="1008"/>
      <c r="AU1266" s="1008"/>
      <c r="AV1266" s="1008"/>
      <c r="AW1266" s="1008"/>
      <c r="AX1266" s="1008"/>
    </row>
    <row r="1267" spans="15:50">
      <c r="O1267" s="989"/>
      <c r="P1267" s="1008"/>
      <c r="Q1267" s="1008"/>
      <c r="R1267" s="1008"/>
      <c r="S1267" s="1008"/>
      <c r="T1267" s="1008"/>
      <c r="U1267" s="1008"/>
      <c r="V1267" s="1008"/>
      <c r="W1267" s="1008"/>
      <c r="X1267" s="1008"/>
      <c r="Y1267" s="1008"/>
      <c r="Z1267" s="1008"/>
      <c r="AA1267" s="1008"/>
      <c r="AB1267" s="1008"/>
      <c r="AC1267" s="1008"/>
      <c r="AD1267" s="1008"/>
      <c r="AE1267" s="1008"/>
      <c r="AF1267" s="1008"/>
      <c r="AG1267" s="1008"/>
      <c r="AH1267" s="1008"/>
      <c r="AI1267" s="1008"/>
      <c r="AJ1267" s="1008"/>
      <c r="AK1267" s="1008"/>
      <c r="AL1267" s="1008"/>
      <c r="AM1267" s="1008"/>
      <c r="AN1267" s="1008"/>
      <c r="AO1267" s="1008"/>
      <c r="AP1267" s="1008"/>
      <c r="AQ1267" s="1008"/>
      <c r="AR1267" s="1008"/>
      <c r="AS1267" s="1008"/>
      <c r="AT1267" s="1008"/>
      <c r="AU1267" s="1008"/>
      <c r="AV1267" s="1008"/>
      <c r="AW1267" s="1008"/>
      <c r="AX1267" s="1008"/>
    </row>
    <row r="1268" spans="15:50">
      <c r="O1268" s="989"/>
      <c r="P1268" s="1008"/>
      <c r="Q1268" s="1008"/>
      <c r="R1268" s="1008"/>
      <c r="S1268" s="1008"/>
      <c r="T1268" s="1008"/>
      <c r="U1268" s="1008"/>
      <c r="V1268" s="1008"/>
      <c r="W1268" s="1008"/>
      <c r="X1268" s="1008"/>
      <c r="Y1268" s="1008"/>
      <c r="Z1268" s="1008"/>
      <c r="AA1268" s="1008"/>
      <c r="AB1268" s="1008"/>
      <c r="AC1268" s="1008"/>
      <c r="AD1268" s="1008"/>
      <c r="AE1268" s="1008"/>
      <c r="AF1268" s="1008"/>
      <c r="AG1268" s="1008"/>
      <c r="AH1268" s="1008"/>
      <c r="AI1268" s="1008"/>
      <c r="AJ1268" s="1008"/>
      <c r="AK1268" s="1008"/>
      <c r="AL1268" s="1008"/>
      <c r="AM1268" s="1008"/>
      <c r="AN1268" s="1008"/>
      <c r="AO1268" s="1008"/>
      <c r="AP1268" s="1008"/>
      <c r="AQ1268" s="1008"/>
      <c r="AR1268" s="1008"/>
      <c r="AS1268" s="1008"/>
      <c r="AT1268" s="1008"/>
      <c r="AU1268" s="1008"/>
      <c r="AV1268" s="1008"/>
      <c r="AW1268" s="1008"/>
      <c r="AX1268" s="1008"/>
    </row>
    <row r="1269" spans="15:50">
      <c r="O1269" s="989"/>
      <c r="P1269" s="1008"/>
      <c r="Q1269" s="1008"/>
      <c r="R1269" s="1008"/>
      <c r="S1269" s="1008"/>
      <c r="T1269" s="1008"/>
      <c r="U1269" s="1008"/>
      <c r="V1269" s="1008"/>
      <c r="W1269" s="1008"/>
      <c r="X1269" s="1008"/>
      <c r="Y1269" s="1008"/>
      <c r="Z1269" s="1008"/>
      <c r="AA1269" s="1008"/>
      <c r="AB1269" s="1008"/>
      <c r="AC1269" s="1008"/>
      <c r="AD1269" s="1008"/>
      <c r="AE1269" s="1008"/>
      <c r="AF1269" s="1008"/>
      <c r="AG1269" s="1008"/>
      <c r="AH1269" s="1008"/>
      <c r="AI1269" s="1008"/>
      <c r="AJ1269" s="1008"/>
      <c r="AK1269" s="1008"/>
      <c r="AL1269" s="1008"/>
      <c r="AM1269" s="1008"/>
      <c r="AN1269" s="1008"/>
      <c r="AO1269" s="1008"/>
      <c r="AP1269" s="1008"/>
      <c r="AQ1269" s="1008"/>
      <c r="AR1269" s="1008"/>
      <c r="AS1269" s="1008"/>
      <c r="AT1269" s="1008"/>
      <c r="AU1269" s="1008"/>
      <c r="AV1269" s="1008"/>
      <c r="AW1269" s="1008"/>
      <c r="AX1269" s="1008"/>
    </row>
    <row r="1270" spans="15:50">
      <c r="O1270" s="989"/>
      <c r="P1270" s="1008"/>
      <c r="Q1270" s="1008"/>
      <c r="R1270" s="1008"/>
      <c r="S1270" s="1008"/>
      <c r="T1270" s="1008"/>
      <c r="U1270" s="1008"/>
      <c r="V1270" s="1008"/>
      <c r="W1270" s="1008"/>
      <c r="X1270" s="1008"/>
      <c r="Y1270" s="1008"/>
      <c r="Z1270" s="1008"/>
      <c r="AA1270" s="1008"/>
      <c r="AB1270" s="1008"/>
      <c r="AC1270" s="1008"/>
      <c r="AD1270" s="1008"/>
      <c r="AE1270" s="1008"/>
      <c r="AF1270" s="1008"/>
      <c r="AG1270" s="1008"/>
      <c r="AH1270" s="1008"/>
      <c r="AI1270" s="1008"/>
      <c r="AJ1270" s="1008"/>
      <c r="AK1270" s="1008"/>
      <c r="AL1270" s="1008"/>
      <c r="AM1270" s="1008"/>
      <c r="AN1270" s="1008"/>
      <c r="AO1270" s="1008"/>
      <c r="AP1270" s="1008"/>
      <c r="AQ1270" s="1008"/>
      <c r="AR1270" s="1008"/>
      <c r="AS1270" s="1008"/>
      <c r="AT1270" s="1008"/>
      <c r="AU1270" s="1008"/>
      <c r="AV1270" s="1008"/>
      <c r="AW1270" s="1008"/>
      <c r="AX1270" s="1008"/>
    </row>
    <row r="1271" spans="15:50">
      <c r="O1271" s="989"/>
      <c r="P1271" s="1008"/>
      <c r="Q1271" s="1008"/>
      <c r="R1271" s="1008"/>
      <c r="S1271" s="1008"/>
      <c r="T1271" s="1008"/>
      <c r="U1271" s="1008"/>
      <c r="V1271" s="1008"/>
      <c r="W1271" s="1008"/>
      <c r="X1271" s="1008"/>
      <c r="Y1271" s="1008"/>
      <c r="Z1271" s="1008"/>
      <c r="AA1271" s="1008"/>
      <c r="AB1271" s="1008"/>
      <c r="AC1271" s="1008"/>
      <c r="AD1271" s="1008"/>
      <c r="AE1271" s="1008"/>
      <c r="AF1271" s="1008"/>
      <c r="AG1271" s="1008"/>
      <c r="AH1271" s="1008"/>
      <c r="AI1271" s="1008"/>
      <c r="AJ1271" s="1008"/>
      <c r="AK1271" s="1008"/>
      <c r="AL1271" s="1008"/>
      <c r="AM1271" s="1008"/>
      <c r="AN1271" s="1008"/>
      <c r="AO1271" s="1008"/>
      <c r="AP1271" s="1008"/>
      <c r="AQ1271" s="1008"/>
      <c r="AR1271" s="1008"/>
      <c r="AS1271" s="1008"/>
      <c r="AT1271" s="1008"/>
      <c r="AU1271" s="1008"/>
      <c r="AV1271" s="1008"/>
      <c r="AW1271" s="1008"/>
      <c r="AX1271" s="1008"/>
    </row>
    <row r="1272" spans="15:50">
      <c r="O1272" s="989"/>
      <c r="P1272" s="1008"/>
      <c r="Q1272" s="1008"/>
      <c r="R1272" s="1008"/>
      <c r="S1272" s="1008"/>
      <c r="T1272" s="1008"/>
      <c r="U1272" s="1008"/>
      <c r="V1272" s="1008"/>
      <c r="W1272" s="1008"/>
      <c r="X1272" s="1008"/>
      <c r="Y1272" s="1008"/>
      <c r="Z1272" s="1008"/>
      <c r="AA1272" s="1008"/>
      <c r="AB1272" s="1008"/>
      <c r="AC1272" s="1008"/>
      <c r="AD1272" s="1008"/>
      <c r="AE1272" s="1008"/>
      <c r="AF1272" s="1008"/>
      <c r="AG1272" s="1008"/>
      <c r="AH1272" s="1008"/>
      <c r="AI1272" s="1008"/>
      <c r="AJ1272" s="1008"/>
      <c r="AK1272" s="1008"/>
      <c r="AL1272" s="1008"/>
      <c r="AM1272" s="1008"/>
      <c r="AN1272" s="1008"/>
      <c r="AO1272" s="1008"/>
      <c r="AP1272" s="1008"/>
      <c r="AQ1272" s="1008"/>
      <c r="AR1272" s="1008"/>
      <c r="AS1272" s="1008"/>
      <c r="AT1272" s="1008"/>
      <c r="AU1272" s="1008"/>
      <c r="AV1272" s="1008"/>
      <c r="AW1272" s="1008"/>
      <c r="AX1272" s="1008"/>
    </row>
    <row r="1273" spans="15:50">
      <c r="O1273" s="989"/>
      <c r="P1273" s="1008"/>
      <c r="Q1273" s="1008"/>
      <c r="R1273" s="1008"/>
      <c r="S1273" s="1008"/>
      <c r="T1273" s="1008"/>
      <c r="U1273" s="1008"/>
      <c r="V1273" s="1008"/>
      <c r="W1273" s="1008"/>
      <c r="X1273" s="1008"/>
      <c r="Y1273" s="1008"/>
      <c r="Z1273" s="1008"/>
      <c r="AA1273" s="1008"/>
      <c r="AB1273" s="1008"/>
      <c r="AC1273" s="1008"/>
      <c r="AD1273" s="1008"/>
      <c r="AE1273" s="1008"/>
      <c r="AF1273" s="1008"/>
      <c r="AG1273" s="1008"/>
      <c r="AH1273" s="1008"/>
      <c r="AI1273" s="1008"/>
      <c r="AJ1273" s="1008"/>
      <c r="AK1273" s="1008"/>
      <c r="AL1273" s="1008"/>
      <c r="AM1273" s="1008"/>
      <c r="AN1273" s="1008"/>
      <c r="AO1273" s="1008"/>
      <c r="AP1273" s="1008"/>
      <c r="AQ1273" s="1008"/>
      <c r="AR1273" s="1008"/>
      <c r="AS1273" s="1008"/>
      <c r="AT1273" s="1008"/>
      <c r="AU1273" s="1008"/>
      <c r="AV1273" s="1008"/>
      <c r="AW1273" s="1008"/>
      <c r="AX1273" s="1008"/>
    </row>
    <row r="1274" spans="15:50">
      <c r="O1274" s="989"/>
      <c r="P1274" s="1008"/>
      <c r="Q1274" s="1008"/>
      <c r="R1274" s="1008"/>
      <c r="S1274" s="1008"/>
      <c r="T1274" s="1008"/>
      <c r="U1274" s="1008"/>
      <c r="V1274" s="1008"/>
      <c r="W1274" s="1008"/>
      <c r="X1274" s="1008"/>
      <c r="Y1274" s="1008"/>
      <c r="Z1274" s="1008"/>
      <c r="AA1274" s="1008"/>
      <c r="AB1274" s="1008"/>
      <c r="AC1274" s="1008"/>
      <c r="AD1274" s="1008"/>
      <c r="AE1274" s="1008"/>
      <c r="AF1274" s="1008"/>
      <c r="AG1274" s="1008"/>
      <c r="AH1274" s="1008"/>
      <c r="AI1274" s="1008"/>
      <c r="AJ1274" s="1008"/>
      <c r="AK1274" s="1008"/>
      <c r="AL1274" s="1008"/>
      <c r="AM1274" s="1008"/>
      <c r="AN1274" s="1008"/>
      <c r="AO1274" s="1008"/>
      <c r="AP1274" s="1008"/>
      <c r="AQ1274" s="1008"/>
      <c r="AR1274" s="1008"/>
      <c r="AS1274" s="1008"/>
      <c r="AT1274" s="1008"/>
      <c r="AU1274" s="1008"/>
      <c r="AV1274" s="1008"/>
      <c r="AW1274" s="1008"/>
      <c r="AX1274" s="1008"/>
    </row>
    <row r="1275" spans="15:50">
      <c r="O1275" s="989"/>
      <c r="P1275" s="1008"/>
      <c r="Q1275" s="1008"/>
      <c r="R1275" s="1008"/>
      <c r="S1275" s="1008"/>
      <c r="T1275" s="1008"/>
      <c r="U1275" s="1008"/>
      <c r="V1275" s="1008"/>
      <c r="W1275" s="1008"/>
      <c r="X1275" s="1008"/>
      <c r="Y1275" s="1008"/>
      <c r="Z1275" s="1008"/>
      <c r="AA1275" s="1008"/>
      <c r="AB1275" s="1008"/>
      <c r="AC1275" s="1008"/>
      <c r="AD1275" s="1008"/>
      <c r="AE1275" s="1008"/>
      <c r="AF1275" s="1008"/>
      <c r="AG1275" s="1008"/>
      <c r="AH1275" s="1008"/>
      <c r="AI1275" s="1008"/>
      <c r="AJ1275" s="1008"/>
      <c r="AK1275" s="1008"/>
      <c r="AL1275" s="1008"/>
      <c r="AM1275" s="1008"/>
      <c r="AN1275" s="1008"/>
      <c r="AO1275" s="1008"/>
      <c r="AP1275" s="1008"/>
      <c r="AQ1275" s="1008"/>
      <c r="AR1275" s="1008"/>
      <c r="AS1275" s="1008"/>
      <c r="AT1275" s="1008"/>
      <c r="AU1275" s="1008"/>
      <c r="AV1275" s="1008"/>
      <c r="AW1275" s="1008"/>
      <c r="AX1275" s="1008"/>
    </row>
    <row r="1276" spans="15:50">
      <c r="O1276" s="989"/>
      <c r="P1276" s="1008"/>
      <c r="Q1276" s="1008"/>
      <c r="R1276" s="1008"/>
      <c r="S1276" s="1008"/>
      <c r="T1276" s="1008"/>
      <c r="U1276" s="1008"/>
      <c r="V1276" s="1008"/>
      <c r="W1276" s="1008"/>
      <c r="X1276" s="1008"/>
      <c r="Y1276" s="1008"/>
      <c r="Z1276" s="1008"/>
      <c r="AA1276" s="1008"/>
      <c r="AB1276" s="1008"/>
      <c r="AC1276" s="1008"/>
      <c r="AD1276" s="1008"/>
      <c r="AE1276" s="1008"/>
      <c r="AF1276" s="1008"/>
      <c r="AG1276" s="1008"/>
      <c r="AH1276" s="1008"/>
      <c r="AI1276" s="1008"/>
      <c r="AJ1276" s="1008"/>
      <c r="AK1276" s="1008"/>
      <c r="AL1276" s="1008"/>
      <c r="AM1276" s="1008"/>
      <c r="AN1276" s="1008"/>
      <c r="AO1276" s="1008"/>
      <c r="AP1276" s="1008"/>
      <c r="AQ1276" s="1008"/>
      <c r="AR1276" s="1008"/>
      <c r="AS1276" s="1008"/>
      <c r="AT1276" s="1008"/>
      <c r="AU1276" s="1008"/>
      <c r="AV1276" s="1008"/>
      <c r="AW1276" s="1008"/>
      <c r="AX1276" s="1008"/>
    </row>
    <row r="1277" spans="15:50">
      <c r="O1277" s="989"/>
      <c r="P1277" s="1008"/>
      <c r="Q1277" s="1008"/>
      <c r="R1277" s="1008"/>
      <c r="S1277" s="1008"/>
      <c r="T1277" s="1008"/>
      <c r="U1277" s="1008"/>
      <c r="V1277" s="1008"/>
      <c r="W1277" s="1008"/>
      <c r="X1277" s="1008"/>
      <c r="Y1277" s="1008"/>
      <c r="Z1277" s="1008"/>
      <c r="AA1277" s="1008"/>
      <c r="AB1277" s="1008"/>
      <c r="AC1277" s="1008"/>
      <c r="AD1277" s="1008"/>
      <c r="AE1277" s="1008"/>
      <c r="AF1277" s="1008"/>
      <c r="AG1277" s="1008"/>
      <c r="AH1277" s="1008"/>
      <c r="AI1277" s="1008"/>
      <c r="AJ1277" s="1008"/>
      <c r="AK1277" s="1008"/>
      <c r="AL1277" s="1008"/>
      <c r="AM1277" s="1008"/>
      <c r="AN1277" s="1008"/>
      <c r="AO1277" s="1008"/>
      <c r="AP1277" s="1008"/>
      <c r="AQ1277" s="1008"/>
      <c r="AR1277" s="1008"/>
      <c r="AS1277" s="1008"/>
      <c r="AT1277" s="1008"/>
      <c r="AU1277" s="1008"/>
      <c r="AV1277" s="1008"/>
      <c r="AW1277" s="1008"/>
      <c r="AX1277" s="1008"/>
    </row>
    <row r="1278" spans="15:50">
      <c r="O1278" s="989"/>
      <c r="P1278" s="1008"/>
      <c r="Q1278" s="1008"/>
      <c r="R1278" s="1008"/>
      <c r="S1278" s="1008"/>
      <c r="T1278" s="1008"/>
      <c r="U1278" s="1008"/>
      <c r="V1278" s="1008"/>
      <c r="W1278" s="1008"/>
      <c r="X1278" s="1008"/>
      <c r="Y1278" s="1008"/>
      <c r="Z1278" s="1008"/>
      <c r="AA1278" s="1008"/>
      <c r="AB1278" s="1008"/>
      <c r="AC1278" s="1008"/>
      <c r="AD1278" s="1008"/>
      <c r="AE1278" s="1008"/>
      <c r="AF1278" s="1008"/>
      <c r="AG1278" s="1008"/>
      <c r="AH1278" s="1008"/>
      <c r="AI1278" s="1008"/>
      <c r="AJ1278" s="1008"/>
      <c r="AK1278" s="1008"/>
      <c r="AL1278" s="1008"/>
      <c r="AM1278" s="1008"/>
      <c r="AN1278" s="1008"/>
      <c r="AO1278" s="1008"/>
      <c r="AP1278" s="1008"/>
      <c r="AQ1278" s="1008"/>
      <c r="AR1278" s="1008"/>
      <c r="AS1278" s="1008"/>
      <c r="AT1278" s="1008"/>
      <c r="AU1278" s="1008"/>
      <c r="AV1278" s="1008"/>
      <c r="AW1278" s="1008"/>
      <c r="AX1278" s="1008"/>
    </row>
    <row r="1279" spans="15:50">
      <c r="O1279" s="989"/>
      <c r="P1279" s="1008"/>
      <c r="Q1279" s="1008"/>
      <c r="R1279" s="1008"/>
      <c r="S1279" s="1008"/>
      <c r="T1279" s="1008"/>
      <c r="U1279" s="1008"/>
      <c r="V1279" s="1008"/>
      <c r="W1279" s="1008"/>
      <c r="X1279" s="1008"/>
      <c r="Y1279" s="1008"/>
      <c r="Z1279" s="1008"/>
      <c r="AA1279" s="1008"/>
      <c r="AB1279" s="1008"/>
      <c r="AC1279" s="1008"/>
      <c r="AD1279" s="1008"/>
      <c r="AE1279" s="1008"/>
      <c r="AF1279" s="1008"/>
      <c r="AG1279" s="1008"/>
      <c r="AH1279" s="1008"/>
      <c r="AI1279" s="1008"/>
      <c r="AJ1279" s="1008"/>
      <c r="AK1279" s="1008"/>
      <c r="AL1279" s="1008"/>
      <c r="AM1279" s="1008"/>
      <c r="AN1279" s="1008"/>
      <c r="AO1279" s="1008"/>
      <c r="AP1279" s="1008"/>
      <c r="AQ1279" s="1008"/>
      <c r="AR1279" s="1008"/>
      <c r="AS1279" s="1008"/>
      <c r="AT1279" s="1008"/>
      <c r="AU1279" s="1008"/>
      <c r="AV1279" s="1008"/>
      <c r="AW1279" s="1008"/>
      <c r="AX1279" s="1008"/>
    </row>
    <row r="1280" spans="15:50">
      <c r="O1280" s="3170" t="s">
        <v>1037</v>
      </c>
      <c r="P1280" s="3170"/>
      <c r="Q1280" s="3170"/>
      <c r="R1280" s="3170"/>
      <c r="S1280" s="3170"/>
      <c r="T1280" s="3170"/>
      <c r="U1280" s="3170"/>
      <c r="V1280" s="3170"/>
      <c r="W1280" s="3170"/>
      <c r="X1280" s="3170"/>
      <c r="Y1280" s="3170"/>
      <c r="Z1280" s="3170"/>
      <c r="AA1280" s="3170"/>
      <c r="AB1280" s="1008"/>
      <c r="AC1280" s="1008"/>
      <c r="AD1280" s="1008"/>
      <c r="AE1280" s="1008"/>
      <c r="AF1280" s="1008"/>
      <c r="AG1280" s="1008"/>
      <c r="AH1280" s="1008"/>
      <c r="AI1280" s="1008"/>
      <c r="AJ1280" s="1008"/>
      <c r="AK1280" s="1008"/>
      <c r="AL1280" s="1008"/>
      <c r="AM1280" s="1008"/>
      <c r="AN1280" s="1008"/>
      <c r="AO1280" s="1008"/>
      <c r="AP1280" s="1008"/>
      <c r="AQ1280" s="1008"/>
      <c r="AR1280" s="1008"/>
      <c r="AS1280" s="1008"/>
      <c r="AT1280" s="1008"/>
      <c r="AU1280" s="1008"/>
      <c r="AV1280" s="1008"/>
      <c r="AW1280" s="1008"/>
      <c r="AX1280" s="1008"/>
    </row>
    <row r="1281" spans="15:50">
      <c r="O1281" s="3170"/>
      <c r="P1281" s="3170"/>
      <c r="Q1281" s="3170"/>
      <c r="R1281" s="3170"/>
      <c r="S1281" s="3170"/>
      <c r="T1281" s="3170"/>
      <c r="U1281" s="3170"/>
      <c r="V1281" s="3170"/>
      <c r="W1281" s="3170"/>
      <c r="X1281" s="3170"/>
      <c r="Y1281" s="3170"/>
      <c r="Z1281" s="3170"/>
      <c r="AA1281" s="3170"/>
      <c r="AB1281" s="1008"/>
      <c r="AC1281" s="1008"/>
      <c r="AD1281" s="1008"/>
      <c r="AE1281" s="1008"/>
      <c r="AF1281" s="1008"/>
      <c r="AG1281" s="1008"/>
      <c r="AH1281" s="1008"/>
      <c r="AI1281" s="1008"/>
      <c r="AJ1281" s="1008"/>
      <c r="AK1281" s="1008"/>
      <c r="AL1281" s="1008"/>
      <c r="AM1281" s="1008"/>
      <c r="AN1281" s="1008"/>
      <c r="AO1281" s="1008"/>
      <c r="AP1281" s="1008"/>
      <c r="AQ1281" s="1008"/>
      <c r="AR1281" s="1008"/>
      <c r="AS1281" s="1008"/>
      <c r="AT1281" s="1008"/>
      <c r="AU1281" s="1008"/>
      <c r="AV1281" s="1008"/>
      <c r="AW1281" s="1008"/>
      <c r="AX1281" s="1008"/>
    </row>
    <row r="1282" spans="15:50">
      <c r="O1282" s="3170"/>
      <c r="P1282" s="3170"/>
      <c r="Q1282" s="3170"/>
      <c r="R1282" s="3170"/>
      <c r="S1282" s="3170"/>
      <c r="T1282" s="3170"/>
      <c r="U1282" s="3170"/>
      <c r="V1282" s="3170"/>
      <c r="W1282" s="3170"/>
      <c r="X1282" s="3170"/>
      <c r="Y1282" s="3170"/>
      <c r="Z1282" s="3170"/>
      <c r="AA1282" s="3170"/>
      <c r="AB1282" s="1008"/>
      <c r="AC1282" s="1008"/>
      <c r="AD1282" s="1008"/>
      <c r="AE1282" s="1008"/>
      <c r="AF1282" s="1008"/>
      <c r="AG1282" s="1008"/>
      <c r="AH1282" s="1008"/>
      <c r="AI1282" s="1008"/>
      <c r="AJ1282" s="1008"/>
      <c r="AK1282" s="1008"/>
      <c r="AL1282" s="1008"/>
      <c r="AM1282" s="1008"/>
      <c r="AN1282" s="1008"/>
      <c r="AO1282" s="1008"/>
      <c r="AP1282" s="1008"/>
      <c r="AQ1282" s="1008"/>
      <c r="AR1282" s="1008"/>
      <c r="AS1282" s="1008"/>
      <c r="AT1282" s="1008"/>
      <c r="AU1282" s="1008"/>
      <c r="AV1282" s="1008"/>
      <c r="AW1282" s="1008"/>
      <c r="AX1282" s="1008"/>
    </row>
    <row r="1283" spans="15:50">
      <c r="O1283" s="3170"/>
      <c r="P1283" s="3170"/>
      <c r="Q1283" s="3170"/>
      <c r="R1283" s="3170"/>
      <c r="S1283" s="3170"/>
      <c r="T1283" s="3170"/>
      <c r="U1283" s="3170"/>
      <c r="V1283" s="3170"/>
      <c r="W1283" s="3170"/>
      <c r="X1283" s="3170"/>
      <c r="Y1283" s="3170"/>
      <c r="Z1283" s="3170"/>
      <c r="AA1283" s="3170"/>
      <c r="AB1283" s="1008"/>
      <c r="AC1283" s="1008"/>
      <c r="AD1283" s="1008"/>
      <c r="AE1283" s="1008"/>
      <c r="AF1283" s="1008"/>
      <c r="AG1283" s="1008"/>
      <c r="AH1283" s="1008"/>
      <c r="AI1283" s="1008"/>
      <c r="AJ1283" s="1008"/>
      <c r="AK1283" s="1008"/>
      <c r="AL1283" s="1008"/>
      <c r="AM1283" s="1008"/>
      <c r="AN1283" s="1008"/>
      <c r="AO1283" s="1008"/>
      <c r="AP1283" s="1008"/>
      <c r="AQ1283" s="1008"/>
      <c r="AR1283" s="1008"/>
      <c r="AS1283" s="1008"/>
      <c r="AT1283" s="1008"/>
      <c r="AU1283" s="1008"/>
      <c r="AV1283" s="1008"/>
      <c r="AW1283" s="1008"/>
      <c r="AX1283" s="1008"/>
    </row>
    <row r="1284" spans="15:50">
      <c r="O1284" s="989"/>
      <c r="P1284" s="1008"/>
      <c r="Q1284" s="1008"/>
      <c r="R1284" s="1008"/>
      <c r="S1284" s="1008"/>
      <c r="T1284" s="1008"/>
      <c r="U1284" s="1008"/>
      <c r="V1284" s="1008"/>
      <c r="W1284" s="1008"/>
      <c r="X1284" s="1008"/>
      <c r="Y1284" s="1008"/>
      <c r="Z1284" s="1008"/>
      <c r="AA1284" s="1008"/>
      <c r="AB1284" s="1008"/>
      <c r="AC1284" s="1008"/>
      <c r="AD1284" s="1008"/>
      <c r="AE1284" s="1008"/>
      <c r="AF1284" s="1008"/>
      <c r="AG1284" s="1008"/>
      <c r="AH1284" s="1008"/>
      <c r="AI1284" s="1008"/>
      <c r="AJ1284" s="1008"/>
      <c r="AK1284" s="1008"/>
      <c r="AL1284" s="1008"/>
      <c r="AM1284" s="1008"/>
      <c r="AN1284" s="1008"/>
      <c r="AO1284" s="1008"/>
      <c r="AP1284" s="1008"/>
      <c r="AQ1284" s="1008"/>
      <c r="AR1284" s="1008"/>
      <c r="AS1284" s="1008"/>
      <c r="AT1284" s="1008"/>
      <c r="AU1284" s="1008"/>
      <c r="AV1284" s="1008"/>
      <c r="AW1284" s="1008"/>
      <c r="AX1284" s="1008"/>
    </row>
    <row r="1285" spans="15:50">
      <c r="O1285" s="989"/>
      <c r="P1285" s="1008"/>
      <c r="Q1285" s="1008"/>
      <c r="R1285" s="1008"/>
      <c r="S1285" s="1008"/>
      <c r="T1285" s="1008"/>
      <c r="U1285" s="1008"/>
      <c r="V1285" s="1008"/>
      <c r="W1285" s="1008"/>
      <c r="X1285" s="1008"/>
      <c r="Y1285" s="1008"/>
      <c r="Z1285" s="1008"/>
      <c r="AA1285" s="1008"/>
      <c r="AB1285" s="1008"/>
      <c r="AC1285" s="1008"/>
      <c r="AD1285" s="1008"/>
      <c r="AE1285" s="1008"/>
      <c r="AF1285" s="1008"/>
      <c r="AG1285" s="1008"/>
      <c r="AH1285" s="1008"/>
      <c r="AI1285" s="1008"/>
      <c r="AJ1285" s="1008"/>
      <c r="AK1285" s="1008"/>
      <c r="AL1285" s="1008"/>
      <c r="AM1285" s="1008"/>
      <c r="AN1285" s="1008"/>
      <c r="AO1285" s="1008"/>
      <c r="AP1285" s="1008"/>
      <c r="AQ1285" s="1008"/>
      <c r="AR1285" s="1008"/>
      <c r="AS1285" s="1008"/>
      <c r="AT1285" s="1008"/>
      <c r="AU1285" s="1008"/>
      <c r="AV1285" s="1008"/>
      <c r="AW1285" s="1008"/>
      <c r="AX1285" s="1008"/>
    </row>
    <row r="1286" spans="15:50">
      <c r="O1286" s="1113">
        <v>0</v>
      </c>
      <c r="P1286" s="1008"/>
      <c r="Q1286" s="1008"/>
      <c r="R1286" s="866">
        <v>1291192</v>
      </c>
      <c r="S1286" s="1008"/>
      <c r="T1286" s="1008"/>
      <c r="U1286" s="1008"/>
      <c r="V1286" s="1008"/>
      <c r="W1286" s="1008"/>
      <c r="X1286" s="1008"/>
      <c r="Y1286" s="1008"/>
      <c r="Z1286" s="1008"/>
      <c r="AA1286" s="1008"/>
      <c r="AB1286" s="1008"/>
      <c r="AC1286" s="1008"/>
      <c r="AD1286" s="1008"/>
      <c r="AE1286" s="1008"/>
      <c r="AF1286" s="1008"/>
      <c r="AG1286" s="1008"/>
      <c r="AH1286" s="1008"/>
      <c r="AI1286" s="1008"/>
      <c r="AJ1286" s="1008"/>
      <c r="AK1286" s="1008"/>
      <c r="AL1286" s="1008"/>
      <c r="AM1286" s="1008"/>
      <c r="AN1286" s="1008"/>
      <c r="AO1286" s="1008"/>
      <c r="AP1286" s="1008"/>
      <c r="AQ1286" s="1008"/>
      <c r="AR1286" s="1008"/>
      <c r="AS1286" s="1008"/>
      <c r="AT1286" s="1008"/>
      <c r="AU1286" s="1008"/>
      <c r="AV1286" s="1008"/>
      <c r="AW1286" s="1008"/>
      <c r="AX1286" s="1008"/>
    </row>
    <row r="1287" spans="15:50">
      <c r="O1287" s="1113">
        <v>0</v>
      </c>
      <c r="P1287" s="1008"/>
      <c r="Q1287" s="869">
        <v>736208</v>
      </c>
      <c r="R1287" s="866">
        <v>0</v>
      </c>
      <c r="S1287" s="1008"/>
      <c r="T1287" s="1008"/>
      <c r="U1287" s="1008"/>
      <c r="V1287" s="1008"/>
      <c r="W1287" s="1008"/>
      <c r="X1287" s="1008"/>
      <c r="Y1287" s="1008"/>
      <c r="Z1287" s="1008"/>
      <c r="AA1287" s="1008"/>
      <c r="AB1287" s="1008"/>
      <c r="AC1287" s="1008"/>
      <c r="AD1287" s="1008"/>
      <c r="AE1287" s="1008"/>
      <c r="AF1287" s="1008"/>
      <c r="AG1287" s="1008"/>
      <c r="AH1287" s="1008"/>
      <c r="AI1287" s="1008"/>
      <c r="AJ1287" s="1008"/>
      <c r="AK1287" s="1008"/>
      <c r="AL1287" s="1008"/>
      <c r="AM1287" s="1008"/>
      <c r="AN1287" s="1008"/>
      <c r="AO1287" s="1008"/>
      <c r="AP1287" s="1008"/>
      <c r="AQ1287" s="1008"/>
      <c r="AR1287" s="1008"/>
      <c r="AS1287" s="1008"/>
      <c r="AT1287" s="1008"/>
      <c r="AU1287" s="1008"/>
      <c r="AV1287" s="1008"/>
      <c r="AW1287" s="1008"/>
      <c r="AX1287" s="1008"/>
    </row>
    <row r="1288" spans="15:50">
      <c r="O1288" s="1113" t="e">
        <v>#REF!</v>
      </c>
      <c r="P1288" s="1008"/>
      <c r="Q1288" s="1008"/>
      <c r="R1288" s="866">
        <v>0</v>
      </c>
      <c r="S1288" s="1008"/>
      <c r="T1288" s="1008"/>
      <c r="U1288" s="1008"/>
      <c r="V1288" s="1008"/>
      <c r="W1288" s="1008"/>
      <c r="X1288" s="1008"/>
      <c r="Y1288" s="1008"/>
      <c r="Z1288" s="1008"/>
      <c r="AA1288" s="1008"/>
      <c r="AB1288" s="1008"/>
      <c r="AC1288" s="1008"/>
      <c r="AD1288" s="1008"/>
      <c r="AE1288" s="1008"/>
      <c r="AF1288" s="1008"/>
      <c r="AG1288" s="1008"/>
      <c r="AH1288" s="1008"/>
      <c r="AI1288" s="1008"/>
      <c r="AJ1288" s="1008"/>
      <c r="AK1288" s="1008"/>
      <c r="AL1288" s="1008"/>
      <c r="AM1288" s="1008"/>
      <c r="AN1288" s="1008"/>
      <c r="AO1288" s="1008"/>
      <c r="AP1288" s="1008"/>
      <c r="AQ1288" s="1008"/>
      <c r="AR1288" s="1008"/>
      <c r="AS1288" s="1008"/>
      <c r="AT1288" s="1008"/>
      <c r="AU1288" s="1008"/>
      <c r="AV1288" s="1008"/>
      <c r="AW1288" s="1008"/>
      <c r="AX1288" s="1008"/>
    </row>
    <row r="1289" spans="15:50">
      <c r="O1289" s="1113"/>
      <c r="P1289" s="1008"/>
      <c r="Q1289" s="1008"/>
      <c r="R1289" s="866"/>
      <c r="S1289" s="1008"/>
      <c r="T1289" s="1008"/>
      <c r="U1289" s="1008"/>
      <c r="V1289" s="1008"/>
      <c r="W1289" s="1008"/>
      <c r="X1289" s="1008"/>
      <c r="Y1289" s="1008"/>
      <c r="Z1289" s="1008"/>
      <c r="AA1289" s="1008"/>
      <c r="AB1289" s="1008"/>
      <c r="AC1289" s="1008"/>
      <c r="AD1289" s="1008"/>
      <c r="AE1289" s="1008"/>
      <c r="AF1289" s="1008"/>
      <c r="AG1289" s="1008"/>
      <c r="AH1289" s="1008"/>
      <c r="AI1289" s="1008"/>
      <c r="AJ1289" s="1008"/>
      <c r="AK1289" s="1008"/>
      <c r="AL1289" s="1008"/>
      <c r="AM1289" s="1008"/>
      <c r="AN1289" s="1008"/>
      <c r="AO1289" s="1008"/>
      <c r="AP1289" s="1008"/>
      <c r="AQ1289" s="1008"/>
      <c r="AR1289" s="1008"/>
      <c r="AS1289" s="1008"/>
      <c r="AT1289" s="1008"/>
      <c r="AU1289" s="1008"/>
      <c r="AV1289" s="1008"/>
      <c r="AW1289" s="1008"/>
      <c r="AX1289" s="1008"/>
    </row>
    <row r="1290" spans="15:50">
      <c r="O1290" s="1113"/>
      <c r="P1290" s="1008"/>
      <c r="Q1290" s="1008"/>
      <c r="R1290" s="866"/>
      <c r="S1290" s="1008"/>
      <c r="T1290" s="1008"/>
      <c r="U1290" s="1008"/>
      <c r="V1290" s="1008"/>
      <c r="W1290" s="1008"/>
      <c r="X1290" s="1008"/>
      <c r="Y1290" s="1008"/>
      <c r="Z1290" s="1008"/>
      <c r="AA1290" s="1008"/>
      <c r="AB1290" s="1008"/>
      <c r="AC1290" s="1008"/>
      <c r="AD1290" s="1008"/>
      <c r="AE1290" s="1008"/>
      <c r="AF1290" s="1008"/>
      <c r="AG1290" s="1008"/>
      <c r="AH1290" s="1008"/>
      <c r="AI1290" s="1008"/>
      <c r="AJ1290" s="1008"/>
      <c r="AK1290" s="1008"/>
      <c r="AL1290" s="1008"/>
      <c r="AM1290" s="1008"/>
      <c r="AN1290" s="1008"/>
      <c r="AO1290" s="1008"/>
      <c r="AP1290" s="1008"/>
      <c r="AQ1290" s="1008"/>
      <c r="AR1290" s="1008"/>
      <c r="AS1290" s="1008"/>
      <c r="AT1290" s="1008"/>
      <c r="AU1290" s="1008"/>
      <c r="AV1290" s="1008"/>
      <c r="AW1290" s="1008"/>
      <c r="AX1290" s="1008"/>
    </row>
    <row r="1291" spans="15:50">
      <c r="O1291" s="1113"/>
      <c r="P1291" s="1008"/>
      <c r="Q1291" s="1008"/>
      <c r="R1291" s="866"/>
      <c r="S1291" s="1008"/>
      <c r="T1291" s="1008"/>
      <c r="U1291" s="1008"/>
      <c r="V1291" s="1008"/>
      <c r="W1291" s="1008"/>
      <c r="X1291" s="1008"/>
      <c r="Y1291" s="1008"/>
      <c r="Z1291" s="1008"/>
      <c r="AA1291" s="1008"/>
      <c r="AB1291" s="1008"/>
      <c r="AC1291" s="1008"/>
      <c r="AD1291" s="1008"/>
      <c r="AE1291" s="1008"/>
      <c r="AF1291" s="1008"/>
      <c r="AG1291" s="1008"/>
      <c r="AH1291" s="1008"/>
      <c r="AI1291" s="1008"/>
      <c r="AJ1291" s="1008"/>
      <c r="AK1291" s="1008"/>
      <c r="AL1291" s="1008"/>
      <c r="AM1291" s="1008"/>
      <c r="AN1291" s="1008"/>
      <c r="AO1291" s="1008"/>
      <c r="AP1291" s="1008"/>
      <c r="AQ1291" s="1008"/>
      <c r="AR1291" s="1008"/>
      <c r="AS1291" s="1008"/>
      <c r="AT1291" s="1008"/>
      <c r="AU1291" s="1008"/>
      <c r="AV1291" s="1008"/>
      <c r="AW1291" s="1008"/>
      <c r="AX1291" s="1008"/>
    </row>
    <row r="1292" spans="15:50">
      <c r="O1292" s="1113" t="e">
        <f>N100</f>
        <v>#REF!</v>
      </c>
      <c r="P1292" s="1008"/>
      <c r="Q1292" s="1008"/>
      <c r="R1292" s="866">
        <v>30768</v>
      </c>
      <c r="S1292" s="1008"/>
      <c r="T1292" s="1008"/>
      <c r="U1292" s="1008"/>
      <c r="V1292" s="1008"/>
      <c r="W1292" s="1008"/>
      <c r="X1292" s="1008"/>
      <c r="Y1292" s="1008"/>
      <c r="Z1292" s="1008"/>
      <c r="AA1292" s="1008"/>
      <c r="AB1292" s="1008"/>
      <c r="AC1292" s="1008"/>
      <c r="AD1292" s="1008"/>
      <c r="AE1292" s="1008"/>
      <c r="AF1292" s="1008"/>
      <c r="AG1292" s="1008"/>
      <c r="AH1292" s="1008"/>
      <c r="AI1292" s="1008"/>
      <c r="AJ1292" s="1008"/>
      <c r="AK1292" s="1008"/>
      <c r="AL1292" s="1008"/>
      <c r="AM1292" s="1008"/>
      <c r="AN1292" s="1008"/>
      <c r="AO1292" s="1008"/>
      <c r="AP1292" s="1008"/>
      <c r="AQ1292" s="1008"/>
      <c r="AR1292" s="1008"/>
      <c r="AS1292" s="1008"/>
      <c r="AT1292" s="1008"/>
      <c r="AU1292" s="1008"/>
      <c r="AV1292" s="1008"/>
      <c r="AW1292" s="1008"/>
      <c r="AX1292" s="1008"/>
    </row>
    <row r="1293" spans="15:50">
      <c r="O1293" s="1113">
        <v>0</v>
      </c>
      <c r="P1293" s="1008"/>
      <c r="Q1293" s="1008"/>
      <c r="R1293" s="866">
        <v>252</v>
      </c>
      <c r="S1293" s="1008"/>
      <c r="T1293" s="1008"/>
      <c r="U1293" s="1008"/>
      <c r="V1293" s="1008"/>
      <c r="W1293" s="1008"/>
      <c r="X1293" s="1008"/>
      <c r="Y1293" s="1008"/>
      <c r="Z1293" s="1008"/>
      <c r="AA1293" s="1008"/>
      <c r="AB1293" s="1008"/>
      <c r="AC1293" s="1008"/>
      <c r="AD1293" s="1008"/>
      <c r="AE1293" s="1008"/>
      <c r="AF1293" s="1008"/>
      <c r="AG1293" s="1008"/>
      <c r="AH1293" s="1008"/>
      <c r="AI1293" s="1008"/>
      <c r="AJ1293" s="1008"/>
      <c r="AK1293" s="1008"/>
      <c r="AL1293" s="1008"/>
      <c r="AM1293" s="1008"/>
      <c r="AN1293" s="1008"/>
      <c r="AO1293" s="1008"/>
      <c r="AP1293" s="1008"/>
      <c r="AQ1293" s="1008"/>
      <c r="AR1293" s="1008"/>
      <c r="AS1293" s="1008"/>
      <c r="AT1293" s="1008"/>
      <c r="AU1293" s="1008"/>
      <c r="AV1293" s="1008"/>
      <c r="AW1293" s="1008"/>
      <c r="AX1293" s="1008"/>
    </row>
    <row r="1294" spans="15:50">
      <c r="O1294" s="989"/>
      <c r="P1294" s="1008"/>
      <c r="Q1294" s="1008"/>
      <c r="R1294" s="1008"/>
      <c r="S1294" s="1008"/>
      <c r="T1294" s="1008"/>
      <c r="U1294" s="1008"/>
      <c r="V1294" s="1008"/>
      <c r="W1294" s="1008"/>
      <c r="X1294" s="1008"/>
      <c r="Y1294" s="1008"/>
      <c r="Z1294" s="1008"/>
      <c r="AA1294" s="1008"/>
      <c r="AB1294" s="1008"/>
      <c r="AC1294" s="1008"/>
      <c r="AD1294" s="1008"/>
      <c r="AE1294" s="1008"/>
      <c r="AF1294" s="1008"/>
      <c r="AG1294" s="1008"/>
      <c r="AH1294" s="1008"/>
      <c r="AI1294" s="1008"/>
      <c r="AJ1294" s="1008"/>
      <c r="AK1294" s="1008"/>
      <c r="AL1294" s="1008"/>
      <c r="AM1294" s="1008"/>
      <c r="AN1294" s="1008"/>
      <c r="AO1294" s="1008"/>
      <c r="AP1294" s="1008"/>
      <c r="AQ1294" s="1008"/>
      <c r="AR1294" s="1008"/>
      <c r="AS1294" s="1008"/>
      <c r="AT1294" s="1008"/>
      <c r="AU1294" s="1008"/>
      <c r="AV1294" s="1008"/>
      <c r="AW1294" s="1008"/>
      <c r="AX1294" s="1008"/>
    </row>
    <row r="1295" spans="15:50">
      <c r="O1295" s="989"/>
      <c r="P1295" s="1008"/>
      <c r="Q1295" s="1008"/>
      <c r="R1295" s="1008"/>
      <c r="S1295" s="1008"/>
      <c r="T1295" s="1008"/>
      <c r="U1295" s="1008"/>
      <c r="V1295" s="1008"/>
      <c r="W1295" s="1008"/>
      <c r="X1295" s="1008"/>
      <c r="Y1295" s="1008"/>
      <c r="Z1295" s="1008"/>
      <c r="AA1295" s="1008"/>
      <c r="AB1295" s="1008"/>
      <c r="AC1295" s="1008"/>
      <c r="AD1295" s="1008"/>
      <c r="AE1295" s="1008"/>
      <c r="AF1295" s="1008"/>
      <c r="AG1295" s="1008"/>
      <c r="AH1295" s="1008"/>
      <c r="AI1295" s="1008"/>
      <c r="AJ1295" s="1008"/>
      <c r="AK1295" s="1008"/>
      <c r="AL1295" s="1008"/>
      <c r="AM1295" s="1008"/>
      <c r="AN1295" s="1008"/>
      <c r="AO1295" s="1008"/>
      <c r="AP1295" s="1008"/>
      <c r="AQ1295" s="1008"/>
      <c r="AR1295" s="1008"/>
      <c r="AS1295" s="1008"/>
      <c r="AT1295" s="1008"/>
      <c r="AU1295" s="1008"/>
      <c r="AV1295" s="1008"/>
      <c r="AW1295" s="1008"/>
      <c r="AX1295" s="1008"/>
    </row>
    <row r="1296" spans="15:50">
      <c r="O1296" s="989"/>
      <c r="P1296" s="1008"/>
      <c r="Q1296" s="1008"/>
      <c r="R1296" s="1008"/>
      <c r="S1296" s="1008"/>
      <c r="T1296" s="1008"/>
      <c r="U1296" s="1008"/>
      <c r="V1296" s="1008"/>
      <c r="W1296" s="1008"/>
      <c r="X1296" s="1008"/>
      <c r="Y1296" s="1008"/>
      <c r="Z1296" s="1008"/>
      <c r="AA1296" s="1008"/>
      <c r="AB1296" s="1008"/>
      <c r="AC1296" s="1008"/>
      <c r="AD1296" s="1008"/>
      <c r="AE1296" s="1008"/>
      <c r="AF1296" s="1008"/>
      <c r="AG1296" s="1008"/>
      <c r="AH1296" s="1008"/>
      <c r="AI1296" s="1008"/>
      <c r="AJ1296" s="1008"/>
      <c r="AK1296" s="1008"/>
      <c r="AL1296" s="1008"/>
      <c r="AM1296" s="1008"/>
      <c r="AN1296" s="1008"/>
      <c r="AO1296" s="1008"/>
      <c r="AP1296" s="1008"/>
      <c r="AQ1296" s="1008"/>
      <c r="AR1296" s="1008"/>
      <c r="AS1296" s="1008"/>
      <c r="AT1296" s="1008"/>
      <c r="AU1296" s="1008"/>
      <c r="AV1296" s="1008"/>
      <c r="AW1296" s="1008"/>
      <c r="AX1296" s="1008"/>
    </row>
    <row r="1297" spans="15:50">
      <c r="O1297" s="989"/>
      <c r="P1297" s="1008"/>
      <c r="Q1297" s="1008"/>
      <c r="R1297" s="1008"/>
      <c r="S1297" s="1008"/>
      <c r="T1297" s="1008"/>
      <c r="U1297" s="1008"/>
      <c r="V1297" s="1008"/>
      <c r="W1297" s="1008"/>
      <c r="X1297" s="1008"/>
      <c r="Y1297" s="1008"/>
      <c r="Z1297" s="1008"/>
      <c r="AA1297" s="1008"/>
      <c r="AB1297" s="1008"/>
      <c r="AC1297" s="1008"/>
      <c r="AD1297" s="1008"/>
      <c r="AE1297" s="1008"/>
      <c r="AF1297" s="1008"/>
      <c r="AG1297" s="1008"/>
      <c r="AH1297" s="1008"/>
      <c r="AI1297" s="1008"/>
      <c r="AJ1297" s="1008"/>
      <c r="AK1297" s="1008"/>
      <c r="AL1297" s="1008"/>
      <c r="AM1297" s="1008"/>
      <c r="AN1297" s="1008"/>
      <c r="AO1297" s="1008"/>
      <c r="AP1297" s="1008"/>
      <c r="AQ1297" s="1008"/>
      <c r="AR1297" s="1008"/>
      <c r="AS1297" s="1008"/>
      <c r="AT1297" s="1008"/>
      <c r="AU1297" s="1008"/>
      <c r="AV1297" s="1008"/>
      <c r="AW1297" s="1008"/>
      <c r="AX1297" s="1008"/>
    </row>
    <row r="1298" spans="15:50">
      <c r="O1298" s="989"/>
      <c r="P1298" s="1008"/>
      <c r="Q1298" s="1008"/>
      <c r="R1298" s="1008"/>
      <c r="S1298" s="1008"/>
      <c r="T1298" s="1008"/>
      <c r="U1298" s="1008"/>
      <c r="V1298" s="1008"/>
      <c r="W1298" s="1008"/>
      <c r="X1298" s="1008"/>
      <c r="Y1298" s="1008"/>
      <c r="Z1298" s="1008"/>
      <c r="AA1298" s="1008"/>
      <c r="AB1298" s="1008"/>
      <c r="AC1298" s="1008"/>
      <c r="AD1298" s="1008"/>
      <c r="AE1298" s="1008"/>
      <c r="AF1298" s="1008"/>
      <c r="AG1298" s="1008"/>
      <c r="AH1298" s="1008"/>
      <c r="AI1298" s="1008"/>
      <c r="AJ1298" s="1008"/>
      <c r="AK1298" s="1008"/>
      <c r="AL1298" s="1008"/>
      <c r="AM1298" s="1008"/>
      <c r="AN1298" s="1008"/>
      <c r="AO1298" s="1008"/>
      <c r="AP1298" s="1008"/>
      <c r="AQ1298" s="1008"/>
      <c r="AR1298" s="1008"/>
      <c r="AS1298" s="1008"/>
      <c r="AT1298" s="1008"/>
      <c r="AU1298" s="1008"/>
      <c r="AV1298" s="1008"/>
      <c r="AW1298" s="1008"/>
      <c r="AX1298" s="1008"/>
    </row>
    <row r="1299" spans="15:50">
      <c r="O1299" s="989"/>
      <c r="P1299" s="1008"/>
      <c r="Q1299" s="1008"/>
      <c r="R1299" s="1008"/>
      <c r="S1299" s="1008"/>
      <c r="T1299" s="1008"/>
      <c r="U1299" s="1008"/>
      <c r="V1299" s="1008"/>
      <c r="W1299" s="1008"/>
      <c r="X1299" s="1008"/>
      <c r="Y1299" s="1008"/>
      <c r="Z1299" s="1008"/>
      <c r="AA1299" s="1008"/>
      <c r="AB1299" s="1008"/>
      <c r="AC1299" s="1008"/>
      <c r="AD1299" s="1008"/>
      <c r="AE1299" s="1008"/>
      <c r="AF1299" s="1008"/>
      <c r="AG1299" s="1008"/>
      <c r="AH1299" s="1008"/>
      <c r="AI1299" s="1008"/>
      <c r="AJ1299" s="1008"/>
      <c r="AK1299" s="1008"/>
      <c r="AL1299" s="1008"/>
      <c r="AM1299" s="1008"/>
      <c r="AN1299" s="1008"/>
      <c r="AO1299" s="1008"/>
      <c r="AP1299" s="1008"/>
      <c r="AQ1299" s="1008"/>
      <c r="AR1299" s="1008"/>
      <c r="AS1299" s="1008"/>
      <c r="AT1299" s="1008"/>
      <c r="AU1299" s="1008"/>
      <c r="AV1299" s="1008"/>
      <c r="AW1299" s="1008"/>
      <c r="AX1299" s="1008"/>
    </row>
    <row r="1300" spans="15:50">
      <c r="O1300" s="989"/>
      <c r="P1300" s="1008"/>
      <c r="Q1300" s="1008"/>
      <c r="R1300" s="1008"/>
      <c r="S1300" s="1008"/>
      <c r="T1300" s="1008"/>
      <c r="U1300" s="1008"/>
      <c r="V1300" s="1008"/>
      <c r="W1300" s="1008"/>
      <c r="X1300" s="1008"/>
      <c r="Y1300" s="1008"/>
      <c r="Z1300" s="1008"/>
      <c r="AA1300" s="1008"/>
      <c r="AB1300" s="1008"/>
      <c r="AC1300" s="1008"/>
      <c r="AD1300" s="1008"/>
      <c r="AE1300" s="1008"/>
      <c r="AF1300" s="1008"/>
      <c r="AG1300" s="1008"/>
      <c r="AH1300" s="1008"/>
      <c r="AI1300" s="1008"/>
      <c r="AJ1300" s="1008"/>
      <c r="AK1300" s="1008"/>
      <c r="AL1300" s="1008"/>
      <c r="AM1300" s="1008"/>
      <c r="AN1300" s="1008"/>
      <c r="AO1300" s="1008"/>
      <c r="AP1300" s="1008"/>
      <c r="AQ1300" s="1008"/>
      <c r="AR1300" s="1008"/>
      <c r="AS1300" s="1008"/>
      <c r="AT1300" s="1008"/>
      <c r="AU1300" s="1008"/>
      <c r="AV1300" s="1008"/>
      <c r="AW1300" s="1008"/>
      <c r="AX1300" s="1008"/>
    </row>
    <row r="1301" spans="15:50">
      <c r="O1301" s="989"/>
      <c r="P1301" s="1008"/>
      <c r="Q1301" s="1008"/>
      <c r="R1301" s="1008"/>
      <c r="S1301" s="1008"/>
      <c r="T1301" s="1008"/>
      <c r="U1301" s="1008"/>
      <c r="V1301" s="1008"/>
      <c r="W1301" s="1008"/>
      <c r="X1301" s="1008"/>
      <c r="Y1301" s="1008"/>
      <c r="Z1301" s="1008"/>
      <c r="AA1301" s="1008"/>
      <c r="AB1301" s="1008"/>
      <c r="AC1301" s="1008"/>
      <c r="AD1301" s="1008"/>
      <c r="AE1301" s="1008"/>
      <c r="AF1301" s="1008"/>
      <c r="AG1301" s="1008"/>
      <c r="AH1301" s="1008"/>
      <c r="AI1301" s="1008"/>
      <c r="AJ1301" s="1008"/>
      <c r="AK1301" s="1008"/>
      <c r="AL1301" s="1008"/>
      <c r="AM1301" s="1008"/>
      <c r="AN1301" s="1008"/>
      <c r="AO1301" s="1008"/>
      <c r="AP1301" s="1008"/>
      <c r="AQ1301" s="1008"/>
      <c r="AR1301" s="1008"/>
      <c r="AS1301" s="1008"/>
      <c r="AT1301" s="1008"/>
      <c r="AU1301" s="1008"/>
      <c r="AV1301" s="1008"/>
      <c r="AW1301" s="1008"/>
      <c r="AX1301" s="1008"/>
    </row>
    <row r="1302" spans="15:50">
      <c r="O1302" s="989"/>
      <c r="P1302" s="1008"/>
      <c r="Q1302" s="1008"/>
      <c r="R1302" s="1008"/>
      <c r="S1302" s="1008"/>
      <c r="T1302" s="1008"/>
      <c r="U1302" s="1008"/>
      <c r="V1302" s="1008"/>
      <c r="W1302" s="1008"/>
      <c r="X1302" s="1008"/>
      <c r="Y1302" s="1008"/>
      <c r="Z1302" s="1008"/>
      <c r="AA1302" s="1008"/>
      <c r="AB1302" s="1008"/>
      <c r="AC1302" s="1008"/>
      <c r="AD1302" s="1008"/>
      <c r="AE1302" s="1008"/>
      <c r="AF1302" s="1008"/>
      <c r="AG1302" s="1008"/>
      <c r="AH1302" s="1008"/>
      <c r="AI1302" s="1008"/>
      <c r="AJ1302" s="1008"/>
      <c r="AK1302" s="1008"/>
      <c r="AL1302" s="1008"/>
      <c r="AM1302" s="1008"/>
      <c r="AN1302" s="1008"/>
      <c r="AO1302" s="1008"/>
      <c r="AP1302" s="1008"/>
      <c r="AQ1302" s="1008"/>
      <c r="AR1302" s="1008"/>
      <c r="AS1302" s="1008"/>
      <c r="AT1302" s="1008"/>
      <c r="AU1302" s="1008"/>
      <c r="AV1302" s="1008"/>
      <c r="AW1302" s="1008"/>
      <c r="AX1302" s="1008"/>
    </row>
    <row r="1303" spans="15:50">
      <c r="O1303" s="989"/>
      <c r="P1303" s="1008"/>
      <c r="Q1303" s="1008"/>
      <c r="R1303" s="1008"/>
      <c r="S1303" s="1008"/>
      <c r="T1303" s="1008"/>
      <c r="U1303" s="1008"/>
      <c r="V1303" s="1008"/>
      <c r="W1303" s="1008"/>
      <c r="X1303" s="1008"/>
      <c r="Y1303" s="1008"/>
      <c r="Z1303" s="1008"/>
      <c r="AA1303" s="1008"/>
      <c r="AB1303" s="1008"/>
      <c r="AC1303" s="1008"/>
      <c r="AD1303" s="1008"/>
      <c r="AE1303" s="1008"/>
      <c r="AF1303" s="1008"/>
      <c r="AG1303" s="1008"/>
      <c r="AH1303" s="1008"/>
      <c r="AI1303" s="1008"/>
      <c r="AJ1303" s="1008"/>
      <c r="AK1303" s="1008"/>
      <c r="AL1303" s="1008"/>
      <c r="AM1303" s="1008"/>
      <c r="AN1303" s="1008"/>
      <c r="AO1303" s="1008"/>
      <c r="AP1303" s="1008"/>
      <c r="AQ1303" s="1008"/>
      <c r="AR1303" s="1008"/>
      <c r="AS1303" s="1008"/>
      <c r="AT1303" s="1008"/>
      <c r="AU1303" s="1008"/>
      <c r="AV1303" s="1008"/>
      <c r="AW1303" s="1008"/>
      <c r="AX1303" s="1008"/>
    </row>
    <row r="1304" spans="15:50">
      <c r="O1304" s="989"/>
      <c r="P1304" s="1008"/>
      <c r="Q1304" s="1008"/>
      <c r="R1304" s="1008"/>
      <c r="S1304" s="1008"/>
      <c r="T1304" s="1008"/>
      <c r="U1304" s="1008"/>
      <c r="V1304" s="1008"/>
      <c r="W1304" s="1008"/>
      <c r="X1304" s="1008"/>
      <c r="Y1304" s="1008"/>
      <c r="Z1304" s="1008"/>
      <c r="AA1304" s="1008"/>
      <c r="AB1304" s="1008"/>
      <c r="AC1304" s="1008"/>
      <c r="AD1304" s="1008"/>
      <c r="AE1304" s="1008"/>
      <c r="AF1304" s="1008"/>
      <c r="AG1304" s="1008"/>
      <c r="AH1304" s="1008"/>
      <c r="AI1304" s="1008"/>
      <c r="AJ1304" s="1008"/>
      <c r="AK1304" s="1008"/>
      <c r="AL1304" s="1008"/>
      <c r="AM1304" s="1008"/>
      <c r="AN1304" s="1008"/>
      <c r="AO1304" s="1008"/>
      <c r="AP1304" s="1008"/>
      <c r="AQ1304" s="1008"/>
      <c r="AR1304" s="1008"/>
      <c r="AS1304" s="1008"/>
      <c r="AT1304" s="1008"/>
      <c r="AU1304" s="1008"/>
      <c r="AV1304" s="1008"/>
      <c r="AW1304" s="1008"/>
      <c r="AX1304" s="1008"/>
    </row>
    <row r="1305" spans="15:50">
      <c r="O1305" s="989"/>
      <c r="P1305" s="1008"/>
      <c r="Q1305" s="1008"/>
      <c r="R1305" s="1008"/>
      <c r="S1305" s="1008"/>
      <c r="T1305" s="1008"/>
      <c r="U1305" s="1008"/>
      <c r="V1305" s="1008"/>
      <c r="W1305" s="1008"/>
      <c r="X1305" s="1008"/>
      <c r="Y1305" s="1008"/>
      <c r="Z1305" s="1008"/>
      <c r="AA1305" s="1008"/>
      <c r="AB1305" s="1008"/>
      <c r="AC1305" s="1008"/>
      <c r="AD1305" s="1008"/>
      <c r="AE1305" s="1008"/>
      <c r="AF1305" s="1008"/>
      <c r="AG1305" s="1008"/>
      <c r="AH1305" s="1008"/>
      <c r="AI1305" s="1008"/>
      <c r="AJ1305" s="1008"/>
      <c r="AK1305" s="1008"/>
      <c r="AL1305" s="1008"/>
      <c r="AM1305" s="1008"/>
      <c r="AN1305" s="1008"/>
      <c r="AO1305" s="1008"/>
      <c r="AP1305" s="1008"/>
      <c r="AQ1305" s="1008"/>
      <c r="AR1305" s="1008"/>
      <c r="AS1305" s="1008"/>
      <c r="AT1305" s="1008"/>
      <c r="AU1305" s="1008"/>
      <c r="AV1305" s="1008"/>
      <c r="AW1305" s="1008"/>
      <c r="AX1305" s="1008"/>
    </row>
    <row r="1306" spans="15:50">
      <c r="O1306" s="989"/>
      <c r="P1306" s="1008"/>
      <c r="Q1306" s="1008"/>
      <c r="R1306" s="1008"/>
      <c r="S1306" s="1008"/>
      <c r="T1306" s="1008"/>
      <c r="U1306" s="1008"/>
      <c r="V1306" s="1008"/>
      <c r="W1306" s="1008"/>
      <c r="X1306" s="1008"/>
      <c r="Y1306" s="1008"/>
      <c r="Z1306" s="1008"/>
      <c r="AA1306" s="1008"/>
      <c r="AB1306" s="1008"/>
      <c r="AC1306" s="1008"/>
      <c r="AD1306" s="1008"/>
      <c r="AE1306" s="1008"/>
      <c r="AF1306" s="1008"/>
      <c r="AG1306" s="1008"/>
      <c r="AH1306" s="1008"/>
      <c r="AI1306" s="1008"/>
      <c r="AJ1306" s="1008"/>
      <c r="AK1306" s="1008"/>
      <c r="AL1306" s="1008"/>
      <c r="AM1306" s="1008"/>
      <c r="AN1306" s="1008"/>
      <c r="AO1306" s="1008"/>
      <c r="AP1306" s="1008"/>
      <c r="AQ1306" s="1008"/>
      <c r="AR1306" s="1008"/>
      <c r="AS1306" s="1008"/>
      <c r="AT1306" s="1008"/>
      <c r="AU1306" s="1008"/>
      <c r="AV1306" s="1008"/>
      <c r="AW1306" s="1008"/>
      <c r="AX1306" s="1008"/>
    </row>
    <row r="1307" spans="15:50">
      <c r="O1307" s="1114">
        <f>N110</f>
        <v>4183</v>
      </c>
      <c r="P1307" s="1008"/>
      <c r="Q1307" s="1008"/>
      <c r="R1307" s="1008"/>
      <c r="S1307" s="1008"/>
      <c r="T1307" s="1008"/>
      <c r="U1307" s="1008"/>
      <c r="V1307" s="1008"/>
      <c r="W1307" s="1008"/>
      <c r="X1307" s="1008"/>
      <c r="Y1307" s="1008"/>
      <c r="Z1307" s="1008"/>
      <c r="AA1307" s="1008"/>
      <c r="AB1307" s="1008"/>
      <c r="AC1307" s="1008"/>
      <c r="AD1307" s="1008"/>
      <c r="AE1307" s="1008"/>
      <c r="AF1307" s="1008"/>
      <c r="AG1307" s="1008"/>
      <c r="AH1307" s="1008"/>
      <c r="AI1307" s="1008"/>
      <c r="AJ1307" s="1008"/>
      <c r="AK1307" s="1008"/>
      <c r="AL1307" s="1008"/>
      <c r="AM1307" s="1008"/>
      <c r="AN1307" s="1008"/>
      <c r="AO1307" s="1008"/>
      <c r="AP1307" s="1008"/>
      <c r="AQ1307" s="1008"/>
      <c r="AR1307" s="1008"/>
      <c r="AS1307" s="1008"/>
      <c r="AT1307" s="1008"/>
      <c r="AU1307" s="1008"/>
      <c r="AV1307" s="1008"/>
      <c r="AW1307" s="1008"/>
      <c r="AX1307" s="1008"/>
    </row>
    <row r="1308" spans="15:50">
      <c r="O1308" s="989"/>
      <c r="P1308" s="869"/>
      <c r="Q1308" s="1008"/>
      <c r="R1308" s="1008"/>
      <c r="S1308" s="1008"/>
      <c r="T1308" s="1008"/>
      <c r="U1308" s="1008"/>
      <c r="V1308" s="1008"/>
      <c r="W1308" s="1008"/>
      <c r="X1308" s="1008"/>
      <c r="Y1308" s="1008"/>
      <c r="Z1308" s="1008"/>
      <c r="AA1308" s="1008"/>
      <c r="AB1308" s="1008"/>
      <c r="AC1308" s="1008"/>
      <c r="AD1308" s="1008"/>
      <c r="AE1308" s="1008"/>
      <c r="AF1308" s="1008"/>
      <c r="AG1308" s="1008"/>
      <c r="AH1308" s="1008"/>
      <c r="AI1308" s="1008"/>
      <c r="AJ1308" s="1008"/>
      <c r="AK1308" s="1008"/>
      <c r="AL1308" s="1008"/>
      <c r="AM1308" s="1008"/>
      <c r="AN1308" s="1008"/>
      <c r="AO1308" s="1008"/>
      <c r="AP1308" s="1008"/>
      <c r="AQ1308" s="1008"/>
      <c r="AR1308" s="1008"/>
      <c r="AS1308" s="1008"/>
      <c r="AT1308" s="1008"/>
      <c r="AU1308" s="1008"/>
      <c r="AV1308" s="1008"/>
      <c r="AW1308" s="1008"/>
      <c r="AX1308" s="1008"/>
    </row>
    <row r="1309" spans="15:50">
      <c r="O1309" s="989"/>
      <c r="P1309" s="1008"/>
      <c r="Q1309" s="1008"/>
      <c r="R1309" s="1008"/>
      <c r="S1309" s="1008"/>
      <c r="T1309" s="1008"/>
      <c r="U1309" s="1008"/>
      <c r="V1309" s="1008"/>
      <c r="W1309" s="1008"/>
      <c r="X1309" s="1008"/>
      <c r="Y1309" s="1008"/>
      <c r="Z1309" s="1008"/>
      <c r="AA1309" s="1008"/>
      <c r="AB1309" s="1008"/>
      <c r="AC1309" s="1008"/>
      <c r="AD1309" s="1008"/>
      <c r="AE1309" s="1008"/>
      <c r="AF1309" s="1008"/>
      <c r="AG1309" s="1008"/>
      <c r="AH1309" s="1008"/>
      <c r="AI1309" s="1008"/>
      <c r="AJ1309" s="1008"/>
      <c r="AK1309" s="1008"/>
      <c r="AL1309" s="1008"/>
      <c r="AM1309" s="1008"/>
      <c r="AN1309" s="1008"/>
      <c r="AO1309" s="1008"/>
      <c r="AP1309" s="1008"/>
      <c r="AQ1309" s="1008"/>
      <c r="AR1309" s="1008"/>
      <c r="AS1309" s="1008"/>
      <c r="AT1309" s="1008"/>
      <c r="AU1309" s="1008"/>
      <c r="AV1309" s="1008"/>
      <c r="AW1309" s="1008"/>
      <c r="AX1309" s="1008"/>
    </row>
    <row r="1310" spans="15:50">
      <c r="O1310" s="989"/>
      <c r="P1310" s="1008"/>
      <c r="Q1310" s="1008"/>
      <c r="R1310" s="1008"/>
      <c r="S1310" s="1008"/>
      <c r="T1310" s="1008"/>
      <c r="U1310" s="1008"/>
      <c r="V1310" s="1008"/>
      <c r="W1310" s="1008"/>
      <c r="X1310" s="1008"/>
      <c r="Y1310" s="1008"/>
      <c r="Z1310" s="1008"/>
      <c r="AA1310" s="1008"/>
      <c r="AB1310" s="1008"/>
      <c r="AC1310" s="1008"/>
      <c r="AD1310" s="1008"/>
      <c r="AE1310" s="1008"/>
      <c r="AF1310" s="1008"/>
      <c r="AG1310" s="1008"/>
      <c r="AH1310" s="1008"/>
      <c r="AI1310" s="1008"/>
      <c r="AJ1310" s="1008"/>
      <c r="AK1310" s="1008"/>
      <c r="AL1310" s="1008"/>
      <c r="AM1310" s="1008"/>
      <c r="AN1310" s="1008"/>
      <c r="AO1310" s="1008"/>
      <c r="AP1310" s="1008"/>
      <c r="AQ1310" s="1008"/>
      <c r="AR1310" s="1008"/>
      <c r="AS1310" s="1008"/>
      <c r="AT1310" s="1008"/>
      <c r="AU1310" s="1008"/>
      <c r="AV1310" s="1008"/>
      <c r="AW1310" s="1008"/>
      <c r="AX1310" s="1008"/>
    </row>
    <row r="1311" spans="15:50">
      <c r="O1311" s="989"/>
      <c r="P1311" s="1008"/>
      <c r="Q1311" s="1008"/>
      <c r="R1311" s="1008"/>
      <c r="S1311" s="1008"/>
      <c r="T1311" s="1008"/>
      <c r="U1311" s="1008"/>
      <c r="V1311" s="1008"/>
      <c r="W1311" s="1008"/>
      <c r="X1311" s="1008"/>
      <c r="Y1311" s="1008"/>
      <c r="Z1311" s="1008"/>
      <c r="AA1311" s="1008"/>
      <c r="AB1311" s="1008"/>
      <c r="AC1311" s="1008"/>
      <c r="AD1311" s="1008"/>
      <c r="AE1311" s="1008"/>
      <c r="AF1311" s="1008"/>
      <c r="AG1311" s="1008"/>
      <c r="AH1311" s="1008"/>
      <c r="AI1311" s="1008"/>
      <c r="AJ1311" s="1008"/>
      <c r="AK1311" s="1008"/>
      <c r="AL1311" s="1008"/>
      <c r="AM1311" s="1008"/>
      <c r="AN1311" s="1008"/>
      <c r="AO1311" s="1008"/>
      <c r="AP1311" s="1008"/>
      <c r="AQ1311" s="1008"/>
      <c r="AR1311" s="1008"/>
      <c r="AS1311" s="1008"/>
      <c r="AT1311" s="1008"/>
      <c r="AU1311" s="1008"/>
      <c r="AV1311" s="1008"/>
      <c r="AW1311" s="1008"/>
      <c r="AX1311" s="1008"/>
    </row>
    <row r="1312" spans="15:50">
      <c r="O1312" s="989"/>
      <c r="P1312" s="1008"/>
      <c r="Q1312" s="1008"/>
      <c r="R1312" s="1008"/>
      <c r="S1312" s="1008"/>
      <c r="T1312" s="1008"/>
      <c r="U1312" s="1008"/>
      <c r="V1312" s="1008"/>
      <c r="W1312" s="1008"/>
      <c r="X1312" s="1008"/>
      <c r="Y1312" s="1008"/>
      <c r="Z1312" s="1008"/>
      <c r="AA1312" s="1008"/>
      <c r="AB1312" s="1008"/>
      <c r="AC1312" s="1008"/>
      <c r="AD1312" s="1008"/>
      <c r="AE1312" s="1008"/>
      <c r="AF1312" s="1008"/>
      <c r="AG1312" s="1008"/>
      <c r="AH1312" s="1008"/>
      <c r="AI1312" s="1008"/>
      <c r="AJ1312" s="1008"/>
      <c r="AK1312" s="1008"/>
      <c r="AL1312" s="1008"/>
      <c r="AM1312" s="1008"/>
      <c r="AN1312" s="1008"/>
      <c r="AO1312" s="1008"/>
      <c r="AP1312" s="1008"/>
      <c r="AQ1312" s="1008"/>
      <c r="AR1312" s="1008"/>
      <c r="AS1312" s="1008"/>
      <c r="AT1312" s="1008"/>
      <c r="AU1312" s="1008"/>
      <c r="AV1312" s="1008"/>
      <c r="AW1312" s="1008"/>
      <c r="AX1312" s="1008"/>
    </row>
    <row r="1313" spans="15:50">
      <c r="O1313" s="989"/>
      <c r="P1313" s="1008"/>
      <c r="Q1313" s="1008"/>
      <c r="R1313" s="1008"/>
      <c r="S1313" s="1008"/>
      <c r="T1313" s="1008"/>
      <c r="U1313" s="1008"/>
      <c r="V1313" s="1008"/>
      <c r="W1313" s="1008"/>
      <c r="X1313" s="1008"/>
      <c r="Y1313" s="1008"/>
      <c r="Z1313" s="1008"/>
      <c r="AA1313" s="1008"/>
      <c r="AB1313" s="1008"/>
      <c r="AC1313" s="1008"/>
      <c r="AD1313" s="1008"/>
      <c r="AE1313" s="1008"/>
      <c r="AF1313" s="1008"/>
      <c r="AG1313" s="1008"/>
      <c r="AH1313" s="1008"/>
      <c r="AI1313" s="1008"/>
      <c r="AJ1313" s="1008"/>
      <c r="AK1313" s="1008"/>
      <c r="AL1313" s="1008"/>
      <c r="AM1313" s="1008"/>
      <c r="AN1313" s="1008"/>
      <c r="AO1313" s="1008"/>
      <c r="AP1313" s="1008"/>
      <c r="AQ1313" s="1008"/>
      <c r="AR1313" s="1008"/>
      <c r="AS1313" s="1008"/>
      <c r="AT1313" s="1008"/>
      <c r="AU1313" s="1008"/>
      <c r="AV1313" s="1008"/>
      <c r="AW1313" s="1008"/>
      <c r="AX1313" s="1008"/>
    </row>
    <row r="1314" spans="15:50">
      <c r="O1314" s="989"/>
      <c r="P1314" s="1008"/>
      <c r="Q1314" s="1008"/>
      <c r="R1314" s="1008"/>
      <c r="S1314" s="1008"/>
      <c r="T1314" s="1008"/>
      <c r="U1314" s="1008"/>
      <c r="V1314" s="1008"/>
      <c r="W1314" s="1008"/>
      <c r="X1314" s="1008"/>
      <c r="Y1314" s="1008"/>
      <c r="Z1314" s="1008"/>
      <c r="AA1314" s="1008"/>
      <c r="AB1314" s="1008"/>
      <c r="AC1314" s="1008"/>
      <c r="AD1314" s="1008"/>
      <c r="AE1314" s="1008"/>
      <c r="AF1314" s="1008"/>
      <c r="AG1314" s="1008"/>
      <c r="AH1314" s="1008"/>
      <c r="AI1314" s="1008"/>
      <c r="AJ1314" s="1008"/>
      <c r="AK1314" s="1008"/>
      <c r="AL1314" s="1008"/>
      <c r="AM1314" s="1008"/>
      <c r="AN1314" s="1008"/>
      <c r="AO1314" s="1008"/>
      <c r="AP1314" s="1008"/>
      <c r="AQ1314" s="1008"/>
      <c r="AR1314" s="1008"/>
      <c r="AS1314" s="1008"/>
      <c r="AT1314" s="1008"/>
      <c r="AU1314" s="1008"/>
      <c r="AV1314" s="1008"/>
      <c r="AW1314" s="1008"/>
      <c r="AX1314" s="1008"/>
    </row>
    <row r="1315" spans="15:50">
      <c r="O1315" s="989"/>
      <c r="P1315" s="1008"/>
      <c r="Q1315" s="1008"/>
      <c r="R1315" s="1008"/>
      <c r="S1315" s="1008"/>
      <c r="T1315" s="1008"/>
      <c r="U1315" s="1008"/>
      <c r="V1315" s="1008"/>
      <c r="W1315" s="1008"/>
      <c r="X1315" s="1008"/>
      <c r="Y1315" s="1008"/>
      <c r="Z1315" s="1008"/>
      <c r="AA1315" s="1008"/>
      <c r="AB1315" s="1008"/>
      <c r="AC1315" s="1008"/>
      <c r="AD1315" s="1008"/>
      <c r="AE1315" s="1008"/>
      <c r="AF1315" s="1008"/>
      <c r="AG1315" s="1008"/>
      <c r="AH1315" s="1008"/>
      <c r="AI1315" s="1008"/>
      <c r="AJ1315" s="1008"/>
      <c r="AK1315" s="1008"/>
      <c r="AL1315" s="1008"/>
      <c r="AM1315" s="1008"/>
      <c r="AN1315" s="1008"/>
      <c r="AO1315" s="1008"/>
      <c r="AP1315" s="1008"/>
      <c r="AQ1315" s="1008"/>
      <c r="AR1315" s="1008"/>
      <c r="AS1315" s="1008"/>
      <c r="AT1315" s="1008"/>
      <c r="AU1315" s="1008"/>
      <c r="AV1315" s="1008"/>
      <c r="AW1315" s="1008"/>
      <c r="AX1315" s="1008"/>
    </row>
    <row r="1316" spans="15:50">
      <c r="O1316" s="989"/>
      <c r="P1316" s="1008"/>
      <c r="Q1316" s="1008"/>
      <c r="R1316" s="1008"/>
      <c r="S1316" s="1008"/>
      <c r="T1316" s="1008"/>
      <c r="U1316" s="1008"/>
      <c r="V1316" s="1008"/>
      <c r="W1316" s="1008"/>
      <c r="X1316" s="1008"/>
      <c r="Y1316" s="1008"/>
      <c r="Z1316" s="1008"/>
      <c r="AA1316" s="1008"/>
      <c r="AB1316" s="1008"/>
      <c r="AC1316" s="1008"/>
      <c r="AD1316" s="1008"/>
      <c r="AE1316" s="1008"/>
      <c r="AF1316" s="1008"/>
      <c r="AG1316" s="1008"/>
      <c r="AH1316" s="1008"/>
      <c r="AI1316" s="1008"/>
      <c r="AJ1316" s="1008"/>
      <c r="AK1316" s="1008"/>
      <c r="AL1316" s="1008"/>
      <c r="AM1316" s="1008"/>
      <c r="AN1316" s="1008"/>
      <c r="AO1316" s="1008"/>
      <c r="AP1316" s="1008"/>
      <c r="AQ1316" s="1008"/>
      <c r="AR1316" s="1008"/>
      <c r="AS1316" s="1008"/>
      <c r="AT1316" s="1008"/>
      <c r="AU1316" s="1008"/>
      <c r="AV1316" s="1008"/>
      <c r="AW1316" s="1008"/>
      <c r="AX1316" s="1008"/>
    </row>
    <row r="1317" spans="15:50">
      <c r="O1317" s="989"/>
      <c r="P1317" s="1008"/>
      <c r="Q1317" s="1008"/>
      <c r="R1317" s="1008"/>
      <c r="S1317" s="1008"/>
      <c r="T1317" s="1008"/>
      <c r="U1317" s="1008"/>
      <c r="V1317" s="1008"/>
      <c r="W1317" s="1008"/>
      <c r="X1317" s="1008"/>
      <c r="Y1317" s="1008"/>
      <c r="Z1317" s="1008"/>
      <c r="AA1317" s="1008"/>
      <c r="AB1317" s="1008"/>
      <c r="AC1317" s="1008"/>
      <c r="AD1317" s="1008"/>
      <c r="AE1317" s="1008"/>
      <c r="AF1317" s="1008"/>
      <c r="AG1317" s="1008"/>
      <c r="AH1317" s="1008"/>
      <c r="AI1317" s="1008"/>
      <c r="AJ1317" s="1008"/>
      <c r="AK1317" s="1008"/>
      <c r="AL1317" s="1008"/>
      <c r="AM1317" s="1008"/>
      <c r="AN1317" s="1008"/>
      <c r="AO1317" s="1008"/>
      <c r="AP1317" s="1008"/>
      <c r="AQ1317" s="1008"/>
      <c r="AR1317" s="1008"/>
      <c r="AS1317" s="1008"/>
      <c r="AT1317" s="1008"/>
      <c r="AU1317" s="1008"/>
      <c r="AV1317" s="1008"/>
      <c r="AW1317" s="1008"/>
      <c r="AX1317" s="1008"/>
    </row>
    <row r="1318" spans="15:50">
      <c r="O1318" s="989"/>
      <c r="P1318" s="1008"/>
      <c r="Q1318" s="1008"/>
      <c r="R1318" s="1008"/>
      <c r="S1318" s="1008"/>
      <c r="T1318" s="1008"/>
      <c r="U1318" s="1008"/>
      <c r="V1318" s="1008"/>
      <c r="W1318" s="1008"/>
      <c r="X1318" s="1008"/>
      <c r="Y1318" s="1008"/>
      <c r="Z1318" s="1008"/>
      <c r="AA1318" s="1008"/>
      <c r="AB1318" s="1008"/>
      <c r="AC1318" s="1008"/>
      <c r="AD1318" s="1008"/>
      <c r="AE1318" s="1008"/>
      <c r="AF1318" s="1008"/>
      <c r="AG1318" s="1008"/>
      <c r="AH1318" s="1008"/>
      <c r="AI1318" s="1008"/>
      <c r="AJ1318" s="1008"/>
      <c r="AK1318" s="1008"/>
      <c r="AL1318" s="1008"/>
      <c r="AM1318" s="1008"/>
      <c r="AN1318" s="1008"/>
      <c r="AO1318" s="1008"/>
      <c r="AP1318" s="1008"/>
      <c r="AQ1318" s="1008"/>
      <c r="AR1318" s="1008"/>
      <c r="AS1318" s="1008"/>
      <c r="AT1318" s="1008"/>
      <c r="AU1318" s="1008"/>
      <c r="AV1318" s="1008"/>
      <c r="AW1318" s="1008"/>
      <c r="AX1318" s="1008"/>
    </row>
    <row r="1319" spans="15:50">
      <c r="O1319" s="989"/>
      <c r="P1319" s="1008"/>
      <c r="Q1319" s="1008"/>
      <c r="R1319" s="1008"/>
      <c r="S1319" s="1008"/>
      <c r="T1319" s="1008"/>
      <c r="U1319" s="1008"/>
      <c r="V1319" s="1008"/>
      <c r="W1319" s="1008"/>
      <c r="X1319" s="1008"/>
      <c r="Y1319" s="1008"/>
      <c r="Z1319" s="1008"/>
      <c r="AA1319" s="1008"/>
      <c r="AB1319" s="1008"/>
      <c r="AC1319" s="1008"/>
      <c r="AD1319" s="1008"/>
      <c r="AE1319" s="1008"/>
      <c r="AF1319" s="1008"/>
      <c r="AG1319" s="1008"/>
      <c r="AH1319" s="1008"/>
      <c r="AI1319" s="1008"/>
      <c r="AJ1319" s="1008"/>
      <c r="AK1319" s="1008"/>
      <c r="AL1319" s="1008"/>
      <c r="AM1319" s="1008"/>
      <c r="AN1319" s="1008"/>
      <c r="AO1319" s="1008"/>
      <c r="AP1319" s="1008"/>
      <c r="AQ1319" s="1008"/>
      <c r="AR1319" s="1008"/>
      <c r="AS1319" s="1008"/>
      <c r="AT1319" s="1008"/>
      <c r="AU1319" s="1008"/>
      <c r="AV1319" s="1008"/>
      <c r="AW1319" s="1008"/>
      <c r="AX1319" s="1008"/>
    </row>
    <row r="1320" spans="15:50">
      <c r="O1320" s="1114">
        <f>N153</f>
        <v>1277217</v>
      </c>
      <c r="P1320" s="1008"/>
      <c r="Q1320" s="1008"/>
      <c r="R1320" s="1008"/>
      <c r="S1320" s="1008"/>
      <c r="T1320" s="1008"/>
      <c r="U1320" s="1008"/>
      <c r="V1320" s="1008"/>
      <c r="W1320" s="1008"/>
      <c r="X1320" s="1008"/>
      <c r="Y1320" s="1008"/>
      <c r="Z1320" s="1008"/>
      <c r="AA1320" s="1008"/>
      <c r="AB1320" s="1008"/>
      <c r="AC1320" s="1008"/>
      <c r="AD1320" s="1008"/>
      <c r="AE1320" s="1008"/>
      <c r="AF1320" s="1008"/>
      <c r="AG1320" s="1008"/>
      <c r="AH1320" s="1008"/>
      <c r="AI1320" s="1008"/>
      <c r="AJ1320" s="1008"/>
      <c r="AK1320" s="1008"/>
      <c r="AL1320" s="1008"/>
      <c r="AM1320" s="1008"/>
      <c r="AN1320" s="1008"/>
      <c r="AO1320" s="1008"/>
      <c r="AP1320" s="1008"/>
      <c r="AQ1320" s="1008"/>
      <c r="AR1320" s="1008"/>
      <c r="AS1320" s="1008"/>
      <c r="AT1320" s="1008"/>
      <c r="AU1320" s="1008"/>
      <c r="AV1320" s="1008"/>
      <c r="AW1320" s="1008"/>
      <c r="AX1320" s="1008"/>
    </row>
    <row r="1321" spans="15:50">
      <c r="O1321" s="989"/>
      <c r="P1321" s="1008"/>
      <c r="Q1321" s="1008"/>
      <c r="R1321" s="1008"/>
      <c r="S1321" s="1008"/>
      <c r="T1321" s="1008"/>
      <c r="U1321" s="1008"/>
      <c r="V1321" s="1008"/>
      <c r="W1321" s="1008"/>
      <c r="X1321" s="1008"/>
      <c r="Y1321" s="1008"/>
      <c r="Z1321" s="1008"/>
      <c r="AA1321" s="1008"/>
      <c r="AB1321" s="1008"/>
      <c r="AC1321" s="1008"/>
      <c r="AD1321" s="1008"/>
      <c r="AE1321" s="1008"/>
      <c r="AF1321" s="1008"/>
      <c r="AG1321" s="1008"/>
      <c r="AH1321" s="1008"/>
      <c r="AI1321" s="1008"/>
      <c r="AJ1321" s="1008"/>
      <c r="AK1321" s="1008"/>
      <c r="AL1321" s="1008"/>
      <c r="AM1321" s="1008"/>
      <c r="AN1321" s="1008"/>
      <c r="AO1321" s="1008"/>
      <c r="AP1321" s="1008"/>
      <c r="AQ1321" s="1008"/>
      <c r="AR1321" s="1008"/>
      <c r="AS1321" s="1008"/>
      <c r="AT1321" s="1008"/>
      <c r="AU1321" s="1008"/>
      <c r="AV1321" s="1008"/>
      <c r="AW1321" s="1008"/>
      <c r="AX1321" s="1008"/>
    </row>
    <row r="1322" spans="15:50">
      <c r="O1322" s="989"/>
      <c r="P1322" s="1008"/>
      <c r="Q1322" s="1008"/>
      <c r="R1322" s="1008"/>
      <c r="S1322" s="1008"/>
      <c r="T1322" s="1008"/>
      <c r="U1322" s="1008"/>
      <c r="V1322" s="1008"/>
      <c r="W1322" s="1008"/>
      <c r="X1322" s="1008"/>
      <c r="Y1322" s="1008"/>
      <c r="Z1322" s="1008"/>
      <c r="AA1322" s="1008"/>
      <c r="AB1322" s="1008"/>
      <c r="AC1322" s="1008"/>
      <c r="AD1322" s="1008"/>
      <c r="AE1322" s="1008"/>
      <c r="AF1322" s="1008"/>
      <c r="AG1322" s="1008"/>
      <c r="AH1322" s="1008"/>
      <c r="AI1322" s="1008"/>
      <c r="AJ1322" s="1008"/>
      <c r="AK1322" s="1008"/>
      <c r="AL1322" s="1008"/>
      <c r="AM1322" s="1008"/>
      <c r="AN1322" s="1008"/>
      <c r="AO1322" s="1008"/>
      <c r="AP1322" s="1008"/>
      <c r="AQ1322" s="1008"/>
      <c r="AR1322" s="1008"/>
      <c r="AS1322" s="1008"/>
      <c r="AT1322" s="1008"/>
      <c r="AU1322" s="1008"/>
      <c r="AV1322" s="1008"/>
      <c r="AW1322" s="1008"/>
      <c r="AX1322" s="1008"/>
    </row>
    <row r="1323" spans="15:50">
      <c r="O1323" s="989"/>
      <c r="P1323" s="1008"/>
      <c r="Q1323" s="1008"/>
      <c r="R1323" s="1008"/>
      <c r="S1323" s="1008"/>
      <c r="T1323" s="1008"/>
      <c r="U1323" s="1008"/>
      <c r="V1323" s="1008"/>
      <c r="W1323" s="1008"/>
      <c r="X1323" s="1008"/>
      <c r="Y1323" s="1008"/>
      <c r="Z1323" s="1008"/>
      <c r="AA1323" s="1008"/>
      <c r="AB1323" s="1008"/>
      <c r="AC1323" s="1008"/>
      <c r="AD1323" s="1008"/>
      <c r="AE1323" s="1008"/>
      <c r="AF1323" s="1008"/>
      <c r="AG1323" s="1008"/>
      <c r="AH1323" s="1008"/>
      <c r="AI1323" s="1008"/>
      <c r="AJ1323" s="1008"/>
      <c r="AK1323" s="1008"/>
      <c r="AL1323" s="1008"/>
      <c r="AM1323" s="1008"/>
      <c r="AN1323" s="1008"/>
      <c r="AO1323" s="1008"/>
      <c r="AP1323" s="1008"/>
      <c r="AQ1323" s="1008"/>
      <c r="AR1323" s="1008"/>
      <c r="AS1323" s="1008"/>
      <c r="AT1323" s="1008"/>
      <c r="AU1323" s="1008"/>
      <c r="AV1323" s="1008"/>
      <c r="AW1323" s="1008"/>
      <c r="AX1323" s="1008"/>
    </row>
    <row r="1324" spans="15:50" ht="13.5">
      <c r="O1324" s="989"/>
      <c r="P1324" s="1115" t="s">
        <v>1042</v>
      </c>
      <c r="Q1324" s="988"/>
      <c r="R1324" s="988"/>
      <c r="S1324" s="988"/>
      <c r="T1324" s="988"/>
      <c r="U1324" s="988"/>
      <c r="V1324" s="1051"/>
      <c r="W1324" s="988"/>
      <c r="X1324" s="1051"/>
      <c r="Y1324" s="988"/>
      <c r="Z1324" s="1051"/>
      <c r="AA1324" s="988"/>
      <c r="AB1324" s="1051"/>
      <c r="AC1324" s="1008"/>
      <c r="AD1324" s="1008"/>
      <c r="AE1324" s="1008"/>
      <c r="AF1324" s="1008"/>
      <c r="AG1324" s="1008"/>
      <c r="AH1324" s="1008"/>
      <c r="AI1324" s="1008"/>
      <c r="AJ1324" s="1008"/>
      <c r="AK1324" s="1008"/>
      <c r="AL1324" s="1008"/>
      <c r="AM1324" s="1008"/>
      <c r="AN1324" s="1008"/>
      <c r="AO1324" s="1008"/>
      <c r="AP1324" s="1008"/>
      <c r="AQ1324" s="1008"/>
      <c r="AR1324" s="1008"/>
      <c r="AS1324" s="1008"/>
      <c r="AT1324" s="1008"/>
      <c r="AU1324" s="1008"/>
      <c r="AV1324" s="1008"/>
      <c r="AW1324" s="1008"/>
      <c r="AX1324" s="1008"/>
    </row>
    <row r="1325" spans="15:50">
      <c r="O1325" s="989"/>
      <c r="P1325" s="993"/>
      <c r="Q1325" s="988"/>
      <c r="R1325" s="988"/>
      <c r="S1325" s="988"/>
      <c r="T1325" s="988"/>
      <c r="U1325" s="988"/>
      <c r="V1325" s="1051"/>
      <c r="W1325" s="988"/>
      <c r="X1325" s="1051"/>
      <c r="Y1325" s="988"/>
      <c r="Z1325" s="1051"/>
      <c r="AA1325" s="988"/>
      <c r="AB1325" s="1051"/>
      <c r="AC1325" s="1008"/>
      <c r="AD1325" s="1008"/>
      <c r="AE1325" s="1008"/>
      <c r="AF1325" s="1008"/>
      <c r="AG1325" s="1008"/>
      <c r="AH1325" s="1008"/>
      <c r="AI1325" s="1008"/>
      <c r="AJ1325" s="1008"/>
      <c r="AK1325" s="1008"/>
      <c r="AL1325" s="1008"/>
      <c r="AM1325" s="1008"/>
      <c r="AN1325" s="1008"/>
      <c r="AO1325" s="1008"/>
      <c r="AP1325" s="1008"/>
      <c r="AQ1325" s="1008"/>
      <c r="AR1325" s="1008"/>
      <c r="AS1325" s="1008"/>
      <c r="AT1325" s="1008"/>
      <c r="AU1325" s="1008"/>
      <c r="AV1325" s="1008"/>
      <c r="AW1325" s="1008"/>
      <c r="AX1325" s="1008"/>
    </row>
    <row r="1326" spans="15:50">
      <c r="O1326" s="989"/>
      <c r="P1326" s="3170" t="s">
        <v>1043</v>
      </c>
      <c r="Q1326" s="3170"/>
      <c r="R1326" s="3170"/>
      <c r="S1326" s="3170"/>
      <c r="T1326" s="3170"/>
      <c r="U1326" s="3170"/>
      <c r="V1326" s="3170"/>
      <c r="W1326" s="3170"/>
      <c r="X1326" s="3170"/>
      <c r="Y1326" s="3170"/>
      <c r="Z1326" s="3170"/>
      <c r="AA1326" s="3170"/>
      <c r="AB1326" s="3170"/>
      <c r="AC1326" s="1008"/>
      <c r="AD1326" s="1008"/>
      <c r="AE1326" s="1008"/>
      <c r="AF1326" s="1008"/>
      <c r="AG1326" s="1008"/>
      <c r="AH1326" s="1008"/>
      <c r="AI1326" s="1008"/>
      <c r="AJ1326" s="1008"/>
      <c r="AK1326" s="1008"/>
      <c r="AL1326" s="1008"/>
      <c r="AM1326" s="1008"/>
      <c r="AN1326" s="1008"/>
      <c r="AO1326" s="1008"/>
      <c r="AP1326" s="1008"/>
      <c r="AQ1326" s="1008"/>
      <c r="AR1326" s="1008"/>
      <c r="AS1326" s="1008"/>
      <c r="AT1326" s="1008"/>
      <c r="AU1326" s="1008"/>
      <c r="AV1326" s="1008"/>
      <c r="AW1326" s="1008"/>
      <c r="AX1326" s="1008"/>
    </row>
    <row r="1327" spans="15:50">
      <c r="O1327" s="989"/>
      <c r="P1327" s="3170"/>
      <c r="Q1327" s="3170"/>
      <c r="R1327" s="3170"/>
      <c r="S1327" s="3170"/>
      <c r="T1327" s="3170"/>
      <c r="U1327" s="3170"/>
      <c r="V1327" s="3170"/>
      <c r="W1327" s="3170"/>
      <c r="X1327" s="3170"/>
      <c r="Y1327" s="3170"/>
      <c r="Z1327" s="3170"/>
      <c r="AA1327" s="3170"/>
      <c r="AB1327" s="3170"/>
      <c r="AC1327" s="1008"/>
      <c r="AD1327" s="1008"/>
      <c r="AE1327" s="1008"/>
      <c r="AF1327" s="1008"/>
      <c r="AG1327" s="1008"/>
      <c r="AH1327" s="1008"/>
      <c r="AI1327" s="1008"/>
      <c r="AJ1327" s="1008"/>
      <c r="AK1327" s="1008"/>
      <c r="AL1327" s="1008"/>
      <c r="AM1327" s="1008"/>
      <c r="AN1327" s="1008"/>
      <c r="AO1327" s="1008"/>
      <c r="AP1327" s="1008"/>
      <c r="AQ1327" s="1008"/>
      <c r="AR1327" s="1008"/>
      <c r="AS1327" s="1008"/>
      <c r="AT1327" s="1008"/>
      <c r="AU1327" s="1008"/>
      <c r="AV1327" s="1008"/>
      <c r="AW1327" s="1008"/>
      <c r="AX1327" s="1008"/>
    </row>
    <row r="1328" spans="15:50">
      <c r="O1328" s="989"/>
      <c r="P1328" s="3170"/>
      <c r="Q1328" s="3170"/>
      <c r="R1328" s="3170"/>
      <c r="S1328" s="3170"/>
      <c r="T1328" s="3170"/>
      <c r="U1328" s="3170"/>
      <c r="V1328" s="3170"/>
      <c r="W1328" s="3170"/>
      <c r="X1328" s="3170"/>
      <c r="Y1328" s="3170"/>
      <c r="Z1328" s="3170"/>
      <c r="AA1328" s="3170"/>
      <c r="AB1328" s="3170"/>
      <c r="AC1328" s="1008"/>
      <c r="AD1328" s="1008"/>
      <c r="AE1328" s="1008"/>
      <c r="AF1328" s="1008"/>
      <c r="AG1328" s="1008"/>
      <c r="AH1328" s="1008"/>
      <c r="AI1328" s="1008"/>
      <c r="AJ1328" s="1008"/>
      <c r="AK1328" s="1008"/>
      <c r="AL1328" s="1008"/>
      <c r="AM1328" s="1008"/>
      <c r="AN1328" s="1008"/>
      <c r="AO1328" s="1008"/>
      <c r="AP1328" s="1008"/>
      <c r="AQ1328" s="1008"/>
      <c r="AR1328" s="1008"/>
      <c r="AS1328" s="1008"/>
      <c r="AT1328" s="1008"/>
      <c r="AU1328" s="1008"/>
      <c r="AV1328" s="1008"/>
      <c r="AW1328" s="1008"/>
      <c r="AX1328" s="1008"/>
    </row>
    <row r="1329" spans="15:50">
      <c r="O1329" s="989"/>
      <c r="P1329" s="3170"/>
      <c r="Q1329" s="3170"/>
      <c r="R1329" s="3170"/>
      <c r="S1329" s="3170"/>
      <c r="T1329" s="3170"/>
      <c r="U1329" s="3170"/>
      <c r="V1329" s="3170"/>
      <c r="W1329" s="3170"/>
      <c r="X1329" s="3170"/>
      <c r="Y1329" s="3170"/>
      <c r="Z1329" s="3170"/>
      <c r="AA1329" s="3170"/>
      <c r="AB1329" s="3170"/>
      <c r="AC1329" s="1008"/>
      <c r="AD1329" s="1008"/>
      <c r="AE1329" s="1008"/>
      <c r="AF1329" s="1008"/>
      <c r="AG1329" s="1008"/>
      <c r="AH1329" s="1008"/>
      <c r="AI1329" s="1008"/>
      <c r="AJ1329" s="1008"/>
      <c r="AK1329" s="1008"/>
      <c r="AL1329" s="1008"/>
      <c r="AM1329" s="1008"/>
      <c r="AN1329" s="1008"/>
      <c r="AO1329" s="1008"/>
      <c r="AP1329" s="1008"/>
      <c r="AQ1329" s="1008"/>
      <c r="AR1329" s="1008"/>
      <c r="AS1329" s="1008"/>
      <c r="AT1329" s="1008"/>
      <c r="AU1329" s="1008"/>
      <c r="AV1329" s="1008"/>
      <c r="AW1329" s="1008"/>
      <c r="AX1329" s="1008"/>
    </row>
    <row r="1330" spans="15:50">
      <c r="O1330" s="989"/>
      <c r="P1330" s="993"/>
      <c r="Q1330" s="988"/>
      <c r="R1330" s="988"/>
      <c r="S1330" s="988"/>
      <c r="T1330" s="988"/>
      <c r="U1330" s="988"/>
      <c r="V1330" s="1051"/>
      <c r="W1330" s="988"/>
      <c r="X1330" s="1051"/>
      <c r="Y1330" s="988"/>
      <c r="Z1330" s="1051"/>
      <c r="AA1330" s="988"/>
      <c r="AB1330" s="1051"/>
      <c r="AC1330" s="1008"/>
      <c r="AD1330" s="1008"/>
      <c r="AE1330" s="1008"/>
      <c r="AF1330" s="1008"/>
      <c r="AG1330" s="1008"/>
      <c r="AH1330" s="1008"/>
      <c r="AI1330" s="1008"/>
      <c r="AJ1330" s="1008"/>
      <c r="AK1330" s="1008"/>
      <c r="AL1330" s="1008"/>
      <c r="AM1330" s="1008"/>
      <c r="AN1330" s="1008"/>
      <c r="AO1330" s="1008"/>
      <c r="AP1330" s="1008"/>
      <c r="AQ1330" s="1008"/>
      <c r="AR1330" s="1008"/>
      <c r="AS1330" s="1008"/>
      <c r="AT1330" s="1008"/>
      <c r="AU1330" s="1008"/>
      <c r="AV1330" s="1008"/>
      <c r="AW1330" s="1008"/>
      <c r="AX1330" s="1008"/>
    </row>
    <row r="1331" spans="15:50">
      <c r="O1331" s="989"/>
      <c r="P1331" s="1008"/>
      <c r="Q1331" s="1008"/>
      <c r="R1331" s="1008"/>
      <c r="S1331" s="1008"/>
      <c r="T1331" s="1008"/>
      <c r="U1331" s="1008"/>
      <c r="V1331" s="1008"/>
      <c r="W1331" s="1008"/>
      <c r="X1331" s="1008"/>
      <c r="Y1331" s="1008"/>
      <c r="Z1331" s="1008"/>
      <c r="AA1331" s="1008"/>
      <c r="AB1331" s="1008"/>
      <c r="AC1331" s="1008"/>
      <c r="AD1331" s="1008"/>
      <c r="AE1331" s="1008"/>
      <c r="AF1331" s="1008"/>
      <c r="AG1331" s="1008"/>
      <c r="AH1331" s="1008"/>
      <c r="AI1331" s="1008"/>
      <c r="AJ1331" s="1008"/>
      <c r="AK1331" s="1008"/>
      <c r="AL1331" s="1008"/>
      <c r="AM1331" s="1008"/>
      <c r="AN1331" s="1008"/>
      <c r="AO1331" s="1008"/>
      <c r="AP1331" s="1008"/>
      <c r="AQ1331" s="1008"/>
      <c r="AR1331" s="1008"/>
      <c r="AS1331" s="1008"/>
      <c r="AT1331" s="1008"/>
      <c r="AU1331" s="1008"/>
      <c r="AV1331" s="1008"/>
      <c r="AW1331" s="1008"/>
      <c r="AX1331" s="1008"/>
    </row>
    <row r="1332" spans="15:50">
      <c r="O1332" s="989"/>
      <c r="P1332" s="992"/>
      <c r="Q1332" s="992"/>
      <c r="R1332" s="992"/>
      <c r="S1332" s="992"/>
      <c r="T1332" s="992"/>
      <c r="U1332" s="992"/>
      <c r="V1332" s="992"/>
      <c r="W1332" s="992"/>
      <c r="X1332" s="992"/>
      <c r="Y1332" s="992"/>
      <c r="Z1332" s="992"/>
      <c r="AA1332" s="992"/>
      <c r="AB1332" s="992"/>
      <c r="AC1332" s="1008"/>
      <c r="AD1332" s="1008"/>
      <c r="AE1332" s="1008"/>
      <c r="AF1332" s="1008"/>
      <c r="AG1332" s="1008"/>
      <c r="AH1332" s="1008"/>
      <c r="AI1332" s="1008"/>
      <c r="AJ1332" s="1008"/>
      <c r="AK1332" s="1008"/>
      <c r="AL1332" s="1008"/>
      <c r="AM1332" s="1008"/>
      <c r="AN1332" s="1008"/>
      <c r="AO1332" s="1008"/>
      <c r="AP1332" s="1008"/>
      <c r="AQ1332" s="1008"/>
      <c r="AR1332" s="1008"/>
      <c r="AS1332" s="1008"/>
      <c r="AT1332" s="1008"/>
      <c r="AU1332" s="1008"/>
      <c r="AV1332" s="1008"/>
      <c r="AW1332" s="1008"/>
      <c r="AX1332" s="1008"/>
    </row>
    <row r="1333" spans="15:50">
      <c r="O1333" s="989"/>
      <c r="P1333" s="992"/>
      <c r="Q1333" s="992"/>
      <c r="R1333" s="992"/>
      <c r="S1333" s="992"/>
      <c r="T1333" s="992"/>
      <c r="U1333" s="992"/>
      <c r="V1333" s="992"/>
      <c r="W1333" s="992"/>
      <c r="X1333" s="992"/>
      <c r="Y1333" s="992"/>
      <c r="Z1333" s="992"/>
      <c r="AA1333" s="992"/>
      <c r="AB1333" s="992"/>
      <c r="AC1333" s="1008"/>
      <c r="AD1333" s="1008"/>
      <c r="AE1333" s="1008"/>
      <c r="AF1333" s="1008"/>
      <c r="AG1333" s="1008"/>
      <c r="AH1333" s="1008"/>
      <c r="AI1333" s="1008"/>
      <c r="AJ1333" s="1008"/>
      <c r="AK1333" s="1008"/>
      <c r="AL1333" s="1008"/>
      <c r="AM1333" s="1008"/>
      <c r="AN1333" s="1008"/>
      <c r="AO1333" s="1008"/>
      <c r="AP1333" s="1008"/>
      <c r="AQ1333" s="1008"/>
      <c r="AR1333" s="1008"/>
      <c r="AS1333" s="1008"/>
      <c r="AT1333" s="1008"/>
      <c r="AU1333" s="1008"/>
      <c r="AV1333" s="1008"/>
      <c r="AW1333" s="1008"/>
      <c r="AX1333" s="1008"/>
    </row>
    <row r="1334" spans="15:50">
      <c r="O1334" s="1114">
        <f>'14-17'!N165</f>
        <v>48439</v>
      </c>
      <c r="P1334" s="992"/>
      <c r="Q1334" s="992"/>
      <c r="R1334" s="992"/>
      <c r="S1334" s="992"/>
      <c r="T1334" s="992"/>
      <c r="U1334" s="992"/>
      <c r="V1334" s="992"/>
      <c r="W1334" s="992"/>
      <c r="X1334" s="992"/>
      <c r="Y1334" s="992"/>
      <c r="Z1334" s="992"/>
      <c r="AA1334" s="992"/>
      <c r="AB1334" s="992"/>
      <c r="AC1334" s="1008"/>
      <c r="AD1334" s="1008"/>
      <c r="AE1334" s="1008"/>
      <c r="AF1334" s="1008"/>
      <c r="AG1334" s="1008"/>
      <c r="AH1334" s="1008"/>
      <c r="AI1334" s="1008"/>
      <c r="AJ1334" s="1008"/>
      <c r="AK1334" s="1008"/>
      <c r="AL1334" s="1008"/>
      <c r="AM1334" s="1008"/>
      <c r="AN1334" s="1008"/>
      <c r="AO1334" s="1008"/>
      <c r="AP1334" s="1008"/>
      <c r="AQ1334" s="1008"/>
      <c r="AR1334" s="1008"/>
      <c r="AS1334" s="1008"/>
      <c r="AT1334" s="1008"/>
      <c r="AU1334" s="1008"/>
      <c r="AV1334" s="1008"/>
      <c r="AW1334" s="1008"/>
      <c r="AX1334" s="1008"/>
    </row>
    <row r="1335" spans="15:50">
      <c r="O1335" s="989"/>
      <c r="P1335" s="992"/>
      <c r="Q1335" s="992"/>
      <c r="R1335" s="992"/>
      <c r="S1335" s="992"/>
      <c r="T1335" s="992"/>
      <c r="U1335" s="992"/>
      <c r="V1335" s="992"/>
      <c r="W1335" s="992"/>
      <c r="X1335" s="992"/>
      <c r="Y1335" s="992"/>
      <c r="Z1335" s="992"/>
      <c r="AA1335" s="992"/>
      <c r="AB1335" s="992"/>
      <c r="AC1335" s="1008"/>
      <c r="AD1335" s="1008"/>
      <c r="AE1335" s="1008"/>
      <c r="AF1335" s="1008"/>
      <c r="AG1335" s="1008"/>
      <c r="AH1335" s="1008"/>
      <c r="AI1335" s="1008"/>
      <c r="AJ1335" s="1008"/>
      <c r="AK1335" s="1008"/>
      <c r="AL1335" s="1008"/>
      <c r="AM1335" s="1008"/>
      <c r="AN1335" s="1008"/>
      <c r="AO1335" s="1008"/>
      <c r="AP1335" s="1008"/>
      <c r="AQ1335" s="1008"/>
      <c r="AR1335" s="1008"/>
      <c r="AS1335" s="1008"/>
      <c r="AT1335" s="1008"/>
      <c r="AU1335" s="1008"/>
      <c r="AV1335" s="1008"/>
      <c r="AW1335" s="1008"/>
      <c r="AX1335" s="1008"/>
    </row>
    <row r="1336" spans="15:50">
      <c r="O1336" s="989"/>
      <c r="P1336" s="1008"/>
      <c r="Q1336" s="1008"/>
      <c r="R1336" s="1008"/>
      <c r="S1336" s="1008"/>
      <c r="T1336" s="1008"/>
      <c r="U1336" s="1008"/>
      <c r="V1336" s="1008"/>
      <c r="W1336" s="1008"/>
      <c r="X1336" s="1008"/>
      <c r="Y1336" s="1008"/>
      <c r="Z1336" s="1008"/>
      <c r="AA1336" s="1008"/>
      <c r="AB1336" s="1008"/>
      <c r="AC1336" s="1008"/>
      <c r="AD1336" s="1008"/>
      <c r="AE1336" s="1008"/>
      <c r="AF1336" s="1008"/>
      <c r="AG1336" s="1008"/>
      <c r="AH1336" s="1008"/>
      <c r="AI1336" s="1008"/>
      <c r="AJ1336" s="1008"/>
      <c r="AK1336" s="1008"/>
      <c r="AL1336" s="1008"/>
      <c r="AM1336" s="1008"/>
      <c r="AN1336" s="1008"/>
      <c r="AO1336" s="1008"/>
      <c r="AP1336" s="1008"/>
      <c r="AQ1336" s="1008"/>
      <c r="AR1336" s="1008"/>
      <c r="AS1336" s="1008"/>
      <c r="AT1336" s="1008"/>
      <c r="AU1336" s="1008"/>
      <c r="AV1336" s="1008"/>
      <c r="AW1336" s="1008"/>
      <c r="AX1336" s="1008"/>
    </row>
    <row r="1337" spans="15:50">
      <c r="O1337" s="989"/>
      <c r="P1337" s="1008"/>
      <c r="Q1337" s="1008"/>
      <c r="R1337" s="1008"/>
      <c r="S1337" s="1008"/>
      <c r="T1337" s="1008"/>
      <c r="U1337" s="1008"/>
      <c r="V1337" s="1008"/>
      <c r="W1337" s="1008"/>
      <c r="X1337" s="1008"/>
      <c r="Y1337" s="1008"/>
      <c r="Z1337" s="1008"/>
      <c r="AA1337" s="1008"/>
      <c r="AB1337" s="1008"/>
      <c r="AC1337" s="1008"/>
      <c r="AD1337" s="1008"/>
      <c r="AE1337" s="1008"/>
      <c r="AF1337" s="1008"/>
      <c r="AG1337" s="1008"/>
      <c r="AH1337" s="1008"/>
      <c r="AI1337" s="1008"/>
      <c r="AJ1337" s="1008"/>
      <c r="AK1337" s="1008"/>
      <c r="AL1337" s="1008"/>
      <c r="AM1337" s="1008"/>
      <c r="AN1337" s="1008"/>
      <c r="AO1337" s="1008"/>
      <c r="AP1337" s="1008"/>
      <c r="AQ1337" s="1008"/>
      <c r="AR1337" s="1008"/>
      <c r="AS1337" s="1008"/>
      <c r="AT1337" s="1008"/>
      <c r="AU1337" s="1008"/>
      <c r="AV1337" s="1008"/>
      <c r="AW1337" s="1008"/>
      <c r="AX1337" s="1008"/>
    </row>
    <row r="1338" spans="15:50">
      <c r="O1338" s="989"/>
      <c r="P1338" s="1008"/>
      <c r="Q1338" s="1008"/>
      <c r="R1338" s="1008"/>
      <c r="S1338" s="1008"/>
      <c r="T1338" s="1008"/>
      <c r="U1338" s="1008"/>
      <c r="V1338" s="1008"/>
      <c r="W1338" s="1008"/>
      <c r="X1338" s="1008"/>
      <c r="Y1338" s="1008"/>
      <c r="Z1338" s="1008"/>
      <c r="AA1338" s="1008"/>
      <c r="AB1338" s="1008"/>
      <c r="AC1338" s="1008"/>
      <c r="AD1338" s="1008"/>
      <c r="AE1338" s="1008"/>
      <c r="AF1338" s="1008"/>
      <c r="AG1338" s="1008"/>
      <c r="AH1338" s="1008"/>
      <c r="AI1338" s="1008"/>
      <c r="AJ1338" s="1008"/>
      <c r="AK1338" s="1008"/>
      <c r="AL1338" s="1008"/>
      <c r="AM1338" s="1008"/>
      <c r="AN1338" s="1008"/>
      <c r="AO1338" s="1008"/>
      <c r="AP1338" s="1008"/>
      <c r="AQ1338" s="1008"/>
      <c r="AR1338" s="1008"/>
      <c r="AS1338" s="1008"/>
      <c r="AT1338" s="1008"/>
      <c r="AU1338" s="1008"/>
      <c r="AV1338" s="1008"/>
      <c r="AW1338" s="1008"/>
      <c r="AX1338" s="1008"/>
    </row>
    <row r="1339" spans="15:50">
      <c r="O1339" s="989"/>
      <c r="P1339" s="1008"/>
      <c r="Q1339" s="1008"/>
      <c r="R1339" s="1008"/>
      <c r="S1339" s="1008"/>
      <c r="T1339" s="1008"/>
      <c r="U1339" s="1008"/>
      <c r="V1339" s="1008"/>
      <c r="W1339" s="1008"/>
      <c r="X1339" s="1008"/>
      <c r="Y1339" s="1008"/>
      <c r="Z1339" s="1008"/>
      <c r="AA1339" s="1008"/>
      <c r="AB1339" s="1008"/>
      <c r="AC1339" s="1008"/>
      <c r="AD1339" s="1008"/>
      <c r="AE1339" s="1008"/>
      <c r="AF1339" s="1008"/>
      <c r="AG1339" s="1008"/>
      <c r="AH1339" s="1008"/>
      <c r="AI1339" s="1008"/>
      <c r="AJ1339" s="1008"/>
      <c r="AK1339" s="1008"/>
      <c r="AL1339" s="1008"/>
      <c r="AM1339" s="1008"/>
      <c r="AN1339" s="1008"/>
      <c r="AO1339" s="1008"/>
      <c r="AP1339" s="1008"/>
      <c r="AQ1339" s="1008"/>
      <c r="AR1339" s="1008"/>
      <c r="AS1339" s="1008"/>
      <c r="AT1339" s="1008"/>
      <c r="AU1339" s="1008"/>
      <c r="AV1339" s="1008"/>
      <c r="AW1339" s="1008"/>
      <c r="AX1339" s="1008"/>
    </row>
    <row r="1340" spans="15:50">
      <c r="O1340" s="989"/>
      <c r="P1340" s="1008"/>
      <c r="Q1340" s="1008"/>
      <c r="R1340" s="1008"/>
      <c r="S1340" s="1008"/>
      <c r="T1340" s="1008"/>
      <c r="U1340" s="1008"/>
      <c r="V1340" s="1008"/>
      <c r="W1340" s="1008"/>
      <c r="X1340" s="1008"/>
      <c r="Y1340" s="1008"/>
      <c r="Z1340" s="1008"/>
      <c r="AA1340" s="1008"/>
      <c r="AB1340" s="1008"/>
      <c r="AC1340" s="1008"/>
      <c r="AD1340" s="1008"/>
      <c r="AE1340" s="1008"/>
      <c r="AF1340" s="1008"/>
      <c r="AG1340" s="1008"/>
      <c r="AH1340" s="1008"/>
      <c r="AI1340" s="1008"/>
      <c r="AJ1340" s="1008"/>
      <c r="AK1340" s="1008"/>
      <c r="AL1340" s="1008"/>
      <c r="AM1340" s="1008"/>
      <c r="AN1340" s="1008"/>
      <c r="AO1340" s="1008"/>
      <c r="AP1340" s="1008"/>
      <c r="AQ1340" s="1008"/>
      <c r="AR1340" s="1008"/>
      <c r="AS1340" s="1008"/>
      <c r="AT1340" s="1008"/>
      <c r="AU1340" s="1008"/>
      <c r="AV1340" s="1008"/>
      <c r="AW1340" s="1008"/>
      <c r="AX1340" s="1008"/>
    </row>
    <row r="1341" spans="15:50">
      <c r="O1341" s="888" t="s">
        <v>817</v>
      </c>
      <c r="P1341" s="1008"/>
      <c r="Q1341" s="1008"/>
      <c r="R1341" s="1008"/>
      <c r="S1341" s="1008"/>
      <c r="T1341" s="1008"/>
      <c r="U1341" s="1008"/>
      <c r="V1341" s="1008"/>
      <c r="W1341" s="1008"/>
      <c r="X1341" s="1008"/>
      <c r="Y1341" s="1008"/>
      <c r="Z1341" s="1008"/>
      <c r="AA1341" s="1008"/>
      <c r="AB1341" s="1008"/>
      <c r="AC1341" s="1008"/>
      <c r="AD1341" s="1008"/>
      <c r="AE1341" s="1008"/>
      <c r="AF1341" s="1008"/>
      <c r="AG1341" s="1008"/>
      <c r="AH1341" s="1008"/>
      <c r="AI1341" s="1008"/>
      <c r="AJ1341" s="1008"/>
      <c r="AK1341" s="1008"/>
      <c r="AL1341" s="1008"/>
      <c r="AM1341" s="1008"/>
      <c r="AN1341" s="1008"/>
      <c r="AO1341" s="1008"/>
      <c r="AP1341" s="1008"/>
      <c r="AQ1341" s="1008"/>
      <c r="AR1341" s="1008"/>
      <c r="AS1341" s="1008"/>
      <c r="AT1341" s="1008"/>
      <c r="AU1341" s="1008"/>
      <c r="AV1341" s="1008"/>
      <c r="AW1341" s="1008"/>
      <c r="AX1341" s="1008"/>
    </row>
    <row r="1342" spans="15:50">
      <c r="O1342" s="989"/>
      <c r="P1342" s="1008"/>
      <c r="Q1342" s="1008"/>
      <c r="R1342" s="1008"/>
      <c r="S1342" s="1008"/>
      <c r="T1342" s="1008"/>
      <c r="U1342" s="1008"/>
      <c r="V1342" s="1008"/>
      <c r="W1342" s="1008"/>
      <c r="X1342" s="1008"/>
      <c r="Y1342" s="1008"/>
      <c r="Z1342" s="1008"/>
      <c r="AA1342" s="1008"/>
      <c r="AB1342" s="1008"/>
      <c r="AC1342" s="1008"/>
      <c r="AD1342" s="1008"/>
      <c r="AE1342" s="1008"/>
      <c r="AF1342" s="1008"/>
      <c r="AG1342" s="1008"/>
      <c r="AH1342" s="1008"/>
      <c r="AI1342" s="1008"/>
      <c r="AJ1342" s="1008"/>
      <c r="AK1342" s="1008"/>
      <c r="AL1342" s="1008"/>
      <c r="AM1342" s="1008"/>
      <c r="AN1342" s="1008"/>
      <c r="AO1342" s="1008"/>
      <c r="AP1342" s="1008"/>
      <c r="AQ1342" s="1008"/>
      <c r="AR1342" s="1008"/>
      <c r="AS1342" s="1008"/>
      <c r="AT1342" s="1008"/>
      <c r="AU1342" s="1008"/>
      <c r="AV1342" s="1008"/>
      <c r="AW1342" s="1008"/>
      <c r="AX1342" s="1008"/>
    </row>
    <row r="1343" spans="15:50">
      <c r="O1343" s="989"/>
      <c r="P1343" s="1008"/>
      <c r="Q1343" s="1008"/>
      <c r="R1343" s="1008"/>
      <c r="S1343" s="1008"/>
      <c r="T1343" s="1008"/>
      <c r="U1343" s="1008"/>
      <c r="V1343" s="1008"/>
      <c r="W1343" s="1008"/>
      <c r="X1343" s="1008"/>
      <c r="Y1343" s="1008"/>
      <c r="Z1343" s="1008"/>
      <c r="AA1343" s="1008"/>
      <c r="AB1343" s="1008"/>
      <c r="AC1343" s="1008"/>
      <c r="AD1343" s="1008"/>
      <c r="AE1343" s="1008"/>
      <c r="AF1343" s="1008"/>
      <c r="AG1343" s="1008"/>
      <c r="AH1343" s="1008"/>
      <c r="AI1343" s="1008"/>
      <c r="AJ1343" s="1008"/>
      <c r="AK1343" s="1008"/>
      <c r="AL1343" s="1008"/>
      <c r="AM1343" s="1008"/>
      <c r="AN1343" s="1008"/>
      <c r="AO1343" s="1008"/>
      <c r="AP1343" s="1008"/>
      <c r="AQ1343" s="1008"/>
      <c r="AR1343" s="1008"/>
      <c r="AS1343" s="1008"/>
      <c r="AT1343" s="1008"/>
      <c r="AU1343" s="1008"/>
      <c r="AV1343" s="1008"/>
      <c r="AW1343" s="1008"/>
      <c r="AX1343" s="1008"/>
    </row>
    <row r="1344" spans="15:50">
      <c r="O1344" s="989"/>
      <c r="P1344" s="1008"/>
      <c r="Q1344" s="1008"/>
      <c r="R1344" s="1008"/>
      <c r="S1344" s="1008"/>
      <c r="T1344" s="1008"/>
      <c r="U1344" s="1008"/>
      <c r="V1344" s="1008"/>
      <c r="W1344" s="1008"/>
      <c r="X1344" s="1008"/>
      <c r="Y1344" s="1008"/>
      <c r="Z1344" s="1008"/>
      <c r="AA1344" s="1008"/>
      <c r="AB1344" s="1008"/>
      <c r="AC1344" s="1008"/>
      <c r="AD1344" s="1008"/>
      <c r="AE1344" s="1008"/>
      <c r="AF1344" s="1008"/>
      <c r="AG1344" s="1008"/>
      <c r="AH1344" s="1008"/>
      <c r="AI1344" s="1008"/>
      <c r="AJ1344" s="1008"/>
      <c r="AK1344" s="1008"/>
      <c r="AL1344" s="1008"/>
      <c r="AM1344" s="1008"/>
      <c r="AN1344" s="1008"/>
      <c r="AO1344" s="1008"/>
      <c r="AP1344" s="1008"/>
      <c r="AQ1344" s="1008"/>
      <c r="AR1344" s="1008"/>
      <c r="AS1344" s="1008"/>
      <c r="AT1344" s="1008"/>
      <c r="AU1344" s="1008"/>
      <c r="AV1344" s="1008"/>
      <c r="AW1344" s="1008"/>
      <c r="AX1344" s="1008"/>
    </row>
    <row r="1345" spans="15:50">
      <c r="O1345" s="989"/>
      <c r="P1345" s="1008"/>
      <c r="Q1345" s="1008"/>
      <c r="R1345" s="1008"/>
      <c r="S1345" s="1008"/>
      <c r="T1345" s="1008"/>
      <c r="U1345" s="1008"/>
      <c r="V1345" s="1008"/>
      <c r="W1345" s="1008"/>
      <c r="X1345" s="1008"/>
      <c r="Y1345" s="1008"/>
      <c r="Z1345" s="1008"/>
      <c r="AA1345" s="1008"/>
      <c r="AB1345" s="1008"/>
      <c r="AC1345" s="1008"/>
      <c r="AD1345" s="1008"/>
      <c r="AE1345" s="1008"/>
      <c r="AF1345" s="1008"/>
      <c r="AG1345" s="1008"/>
      <c r="AH1345" s="1008"/>
      <c r="AI1345" s="1008"/>
      <c r="AJ1345" s="1008"/>
      <c r="AK1345" s="1008"/>
      <c r="AL1345" s="1008"/>
      <c r="AM1345" s="1008"/>
      <c r="AN1345" s="1008"/>
      <c r="AO1345" s="1008"/>
      <c r="AP1345" s="1008"/>
      <c r="AQ1345" s="1008"/>
      <c r="AR1345" s="1008"/>
      <c r="AS1345" s="1008"/>
      <c r="AT1345" s="1008"/>
      <c r="AU1345" s="1008"/>
      <c r="AV1345" s="1008"/>
      <c r="AW1345" s="1008"/>
      <c r="AX1345" s="1008"/>
    </row>
    <row r="1346" spans="15:50">
      <c r="O1346" s="989"/>
      <c r="P1346" s="1008"/>
      <c r="Q1346" s="1008"/>
      <c r="R1346" s="1008"/>
      <c r="S1346" s="1008"/>
      <c r="T1346" s="1008"/>
      <c r="U1346" s="1008"/>
      <c r="V1346" s="1008"/>
      <c r="W1346" s="1008"/>
      <c r="X1346" s="1008"/>
      <c r="Y1346" s="1008"/>
      <c r="Z1346" s="1008"/>
      <c r="AA1346" s="1008"/>
      <c r="AB1346" s="1008"/>
      <c r="AC1346" s="1008"/>
      <c r="AD1346" s="1008"/>
      <c r="AE1346" s="1008"/>
      <c r="AF1346" s="1008"/>
      <c r="AG1346" s="1008"/>
      <c r="AH1346" s="1008"/>
      <c r="AI1346" s="1008"/>
      <c r="AJ1346" s="1008"/>
      <c r="AK1346" s="1008"/>
      <c r="AL1346" s="1008"/>
      <c r="AM1346" s="1008"/>
      <c r="AN1346" s="1008"/>
      <c r="AO1346" s="1008"/>
      <c r="AP1346" s="1008"/>
      <c r="AQ1346" s="1008"/>
      <c r="AR1346" s="1008"/>
      <c r="AS1346" s="1008"/>
      <c r="AT1346" s="1008"/>
      <c r="AU1346" s="1008"/>
      <c r="AV1346" s="1008"/>
      <c r="AW1346" s="1008"/>
      <c r="AX1346" s="1008"/>
    </row>
    <row r="1347" spans="15:50">
      <c r="O1347" s="989"/>
      <c r="P1347" s="1008"/>
      <c r="Q1347" s="1008"/>
      <c r="R1347" s="1008"/>
      <c r="S1347" s="1008"/>
      <c r="T1347" s="1008"/>
      <c r="U1347" s="1008"/>
      <c r="V1347" s="1008"/>
      <c r="W1347" s="1008"/>
      <c r="X1347" s="1008"/>
      <c r="Y1347" s="1008"/>
      <c r="Z1347" s="1008"/>
      <c r="AA1347" s="1008"/>
      <c r="AB1347" s="1008"/>
      <c r="AC1347" s="1008"/>
      <c r="AD1347" s="1008"/>
      <c r="AE1347" s="1008"/>
      <c r="AF1347" s="1008"/>
      <c r="AG1347" s="1008"/>
      <c r="AH1347" s="1008"/>
      <c r="AI1347" s="1008"/>
      <c r="AJ1347" s="1008"/>
      <c r="AK1347" s="1008"/>
      <c r="AL1347" s="1008"/>
      <c r="AM1347" s="1008"/>
      <c r="AN1347" s="1008"/>
      <c r="AO1347" s="1008"/>
      <c r="AP1347" s="1008"/>
      <c r="AQ1347" s="1008"/>
      <c r="AR1347" s="1008"/>
      <c r="AS1347" s="1008"/>
      <c r="AT1347" s="1008"/>
      <c r="AU1347" s="1008"/>
      <c r="AV1347" s="1008"/>
      <c r="AW1347" s="1008"/>
      <c r="AX1347" s="1008"/>
    </row>
    <row r="1348" spans="15:50">
      <c r="O1348" s="989"/>
      <c r="P1348" s="1008"/>
      <c r="Q1348" s="1008"/>
      <c r="R1348" s="1008"/>
      <c r="S1348" s="1008"/>
      <c r="T1348" s="1008"/>
      <c r="U1348" s="1008"/>
      <c r="V1348" s="1008"/>
      <c r="W1348" s="1008"/>
      <c r="X1348" s="1008"/>
      <c r="Y1348" s="1008"/>
      <c r="Z1348" s="1008"/>
      <c r="AA1348" s="1008"/>
      <c r="AB1348" s="1008"/>
      <c r="AC1348" s="1008"/>
      <c r="AD1348" s="1008"/>
      <c r="AE1348" s="1008"/>
      <c r="AF1348" s="1008"/>
      <c r="AG1348" s="1008"/>
      <c r="AH1348" s="1008"/>
      <c r="AI1348" s="1008"/>
      <c r="AJ1348" s="1008"/>
      <c r="AK1348" s="1008"/>
      <c r="AL1348" s="1008"/>
      <c r="AM1348" s="1008"/>
      <c r="AN1348" s="1008"/>
      <c r="AO1348" s="1008"/>
      <c r="AP1348" s="1008"/>
      <c r="AQ1348" s="1008"/>
      <c r="AR1348" s="1008"/>
      <c r="AS1348" s="1008"/>
      <c r="AT1348" s="1008"/>
      <c r="AU1348" s="1008"/>
      <c r="AV1348" s="1008"/>
      <c r="AW1348" s="1008"/>
      <c r="AX1348" s="1008"/>
    </row>
    <row r="1349" spans="15:50">
      <c r="O1349" s="989"/>
      <c r="P1349" s="1008"/>
      <c r="Q1349" s="1008"/>
      <c r="R1349" s="1008"/>
      <c r="S1349" s="1008"/>
      <c r="T1349" s="1008"/>
      <c r="U1349" s="1008"/>
      <c r="V1349" s="1008"/>
      <c r="W1349" s="1008"/>
      <c r="X1349" s="1008"/>
      <c r="Y1349" s="1008"/>
      <c r="Z1349" s="1008"/>
      <c r="AA1349" s="1008"/>
      <c r="AB1349" s="1008"/>
      <c r="AC1349" s="1008"/>
      <c r="AD1349" s="1008"/>
      <c r="AE1349" s="1008"/>
      <c r="AF1349" s="1008"/>
      <c r="AG1349" s="1008"/>
      <c r="AH1349" s="1008"/>
      <c r="AI1349" s="1008"/>
      <c r="AJ1349" s="1008"/>
      <c r="AK1349" s="1008"/>
      <c r="AL1349" s="1008"/>
      <c r="AM1349" s="1008"/>
      <c r="AN1349" s="1008"/>
      <c r="AO1349" s="1008"/>
      <c r="AP1349" s="1008"/>
      <c r="AQ1349" s="1008"/>
      <c r="AR1349" s="1008"/>
      <c r="AS1349" s="1008"/>
      <c r="AT1349" s="1008"/>
      <c r="AU1349" s="1008"/>
      <c r="AV1349" s="1008"/>
      <c r="AW1349" s="1008"/>
      <c r="AX1349" s="1008"/>
    </row>
    <row r="1350" spans="15:50">
      <c r="O1350" s="989"/>
      <c r="P1350" s="1008"/>
      <c r="Q1350" s="1008"/>
      <c r="R1350" s="1008"/>
      <c r="S1350" s="1008"/>
      <c r="T1350" s="1008"/>
      <c r="U1350" s="1008"/>
      <c r="V1350" s="1008"/>
      <c r="W1350" s="1008"/>
      <c r="X1350" s="1008"/>
      <c r="Y1350" s="1008"/>
      <c r="Z1350" s="1008"/>
      <c r="AA1350" s="1008"/>
      <c r="AB1350" s="1008"/>
      <c r="AC1350" s="1008"/>
      <c r="AD1350" s="1008"/>
      <c r="AE1350" s="1008"/>
      <c r="AF1350" s="1008"/>
      <c r="AG1350" s="1008"/>
      <c r="AH1350" s="1008"/>
      <c r="AI1350" s="1008"/>
      <c r="AJ1350" s="1008"/>
      <c r="AK1350" s="1008"/>
      <c r="AL1350" s="1008"/>
      <c r="AM1350" s="1008"/>
      <c r="AN1350" s="1008"/>
      <c r="AO1350" s="1008"/>
      <c r="AP1350" s="1008"/>
      <c r="AQ1350" s="1008"/>
      <c r="AR1350" s="1008"/>
      <c r="AS1350" s="1008"/>
      <c r="AT1350" s="1008"/>
      <c r="AU1350" s="1008"/>
      <c r="AV1350" s="1008"/>
      <c r="AW1350" s="1008"/>
      <c r="AX1350" s="1008"/>
    </row>
    <row r="1351" spans="15:50">
      <c r="O1351" s="989"/>
      <c r="P1351" s="1008"/>
      <c r="Q1351" s="1008"/>
      <c r="R1351" s="1008"/>
      <c r="S1351" s="1008"/>
      <c r="T1351" s="1008"/>
      <c r="U1351" s="1008"/>
      <c r="V1351" s="1008"/>
      <c r="W1351" s="1008"/>
      <c r="X1351" s="1008"/>
      <c r="Y1351" s="1008"/>
      <c r="Z1351" s="1008"/>
      <c r="AA1351" s="1008"/>
      <c r="AB1351" s="1008"/>
      <c r="AC1351" s="1008"/>
      <c r="AD1351" s="1008"/>
      <c r="AE1351" s="1008"/>
      <c r="AF1351" s="1008"/>
      <c r="AG1351" s="1008"/>
      <c r="AH1351" s="1008"/>
      <c r="AI1351" s="1008"/>
      <c r="AJ1351" s="1008"/>
      <c r="AK1351" s="1008"/>
      <c r="AL1351" s="1008"/>
      <c r="AM1351" s="1008"/>
      <c r="AN1351" s="1008"/>
      <c r="AO1351" s="1008"/>
      <c r="AP1351" s="1008"/>
      <c r="AQ1351" s="1008"/>
      <c r="AR1351" s="1008"/>
      <c r="AS1351" s="1008"/>
      <c r="AT1351" s="1008"/>
      <c r="AU1351" s="1008"/>
      <c r="AV1351" s="1008"/>
      <c r="AW1351" s="1008"/>
      <c r="AX1351" s="1008"/>
    </row>
    <row r="1352" spans="15:50">
      <c r="O1352" s="989"/>
      <c r="P1352" s="1008"/>
      <c r="Q1352" s="1008"/>
      <c r="R1352" s="1008"/>
      <c r="S1352" s="1008"/>
      <c r="T1352" s="1008"/>
      <c r="U1352" s="1008"/>
      <c r="V1352" s="1008"/>
      <c r="W1352" s="1008"/>
      <c r="X1352" s="1008"/>
      <c r="Y1352" s="1008"/>
      <c r="Z1352" s="1008"/>
      <c r="AA1352" s="1008"/>
      <c r="AB1352" s="1008"/>
      <c r="AC1352" s="1008"/>
      <c r="AD1352" s="1008"/>
      <c r="AE1352" s="1008"/>
      <c r="AF1352" s="1008"/>
      <c r="AG1352" s="1008"/>
      <c r="AH1352" s="1008"/>
      <c r="AI1352" s="1008"/>
      <c r="AJ1352" s="1008"/>
      <c r="AK1352" s="1008"/>
      <c r="AL1352" s="1008"/>
      <c r="AM1352" s="1008"/>
      <c r="AN1352" s="1008"/>
      <c r="AO1352" s="1008"/>
      <c r="AP1352" s="1008"/>
      <c r="AQ1352" s="1008"/>
      <c r="AR1352" s="1008"/>
      <c r="AS1352" s="1008"/>
      <c r="AT1352" s="1008"/>
      <c r="AU1352" s="1008"/>
      <c r="AV1352" s="1008"/>
      <c r="AW1352" s="1008"/>
      <c r="AX1352" s="1008"/>
    </row>
    <row r="1353" spans="15:50">
      <c r="O1353" s="989"/>
      <c r="P1353" s="1008"/>
      <c r="Q1353" s="1008"/>
      <c r="R1353" s="1008"/>
      <c r="S1353" s="1008"/>
      <c r="T1353" s="1008"/>
      <c r="U1353" s="1008"/>
      <c r="V1353" s="1008"/>
      <c r="W1353" s="1008"/>
      <c r="X1353" s="1008"/>
      <c r="Y1353" s="1008"/>
      <c r="Z1353" s="1008"/>
      <c r="AA1353" s="1008"/>
      <c r="AB1353" s="1008"/>
      <c r="AC1353" s="1008"/>
      <c r="AD1353" s="1008"/>
      <c r="AE1353" s="1008"/>
      <c r="AF1353" s="1008"/>
      <c r="AG1353" s="1008"/>
      <c r="AH1353" s="1008"/>
      <c r="AI1353" s="1008"/>
      <c r="AJ1353" s="1008"/>
      <c r="AK1353" s="1008"/>
      <c r="AL1353" s="1008"/>
      <c r="AM1353" s="1008"/>
      <c r="AN1353" s="1008"/>
      <c r="AO1353" s="1008"/>
      <c r="AP1353" s="1008"/>
      <c r="AQ1353" s="1008"/>
      <c r="AR1353" s="1008"/>
      <c r="AS1353" s="1008"/>
      <c r="AT1353" s="1008"/>
      <c r="AU1353" s="1008"/>
      <c r="AV1353" s="1008"/>
      <c r="AW1353" s="1008"/>
      <c r="AX1353" s="1008"/>
    </row>
    <row r="1354" spans="15:50">
      <c r="O1354" s="989"/>
      <c r="P1354" s="1008"/>
      <c r="Q1354" s="1008"/>
      <c r="R1354" s="1008"/>
      <c r="S1354" s="1008"/>
      <c r="T1354" s="1008"/>
      <c r="U1354" s="1008"/>
      <c r="V1354" s="1008"/>
      <c r="W1354" s="1008"/>
      <c r="X1354" s="1008"/>
      <c r="Y1354" s="1008"/>
      <c r="Z1354" s="1008"/>
      <c r="AA1354" s="1008"/>
      <c r="AB1354" s="1008"/>
      <c r="AC1354" s="1008"/>
      <c r="AD1354" s="1008"/>
      <c r="AE1354" s="1008"/>
      <c r="AF1354" s="1008"/>
      <c r="AG1354" s="1008"/>
      <c r="AH1354" s="1008"/>
      <c r="AI1354" s="1008"/>
      <c r="AJ1354" s="1008"/>
      <c r="AK1354" s="1008"/>
      <c r="AL1354" s="1008"/>
      <c r="AM1354" s="1008"/>
      <c r="AN1354" s="1008"/>
      <c r="AO1354" s="1008"/>
      <c r="AP1354" s="1008"/>
      <c r="AQ1354" s="1008"/>
      <c r="AR1354" s="1008"/>
      <c r="AS1354" s="1008"/>
      <c r="AT1354" s="1008"/>
      <c r="AU1354" s="1008"/>
      <c r="AV1354" s="1008"/>
      <c r="AW1354" s="1008"/>
      <c r="AX1354" s="1008"/>
    </row>
    <row r="1355" spans="15:50">
      <c r="O1355" s="989"/>
      <c r="P1355" s="1008"/>
      <c r="Q1355" s="1008"/>
      <c r="R1355" s="1008"/>
      <c r="S1355" s="1008"/>
      <c r="T1355" s="1008"/>
      <c r="U1355" s="1008"/>
      <c r="V1355" s="1008"/>
      <c r="W1355" s="1008"/>
      <c r="X1355" s="1008"/>
      <c r="Y1355" s="1008"/>
      <c r="Z1355" s="1008"/>
      <c r="AA1355" s="1008"/>
      <c r="AB1355" s="1008"/>
      <c r="AC1355" s="1008"/>
      <c r="AD1355" s="1008"/>
      <c r="AE1355" s="1008"/>
      <c r="AF1355" s="1008"/>
      <c r="AG1355" s="1008"/>
      <c r="AH1355" s="1008"/>
      <c r="AI1355" s="1008"/>
      <c r="AJ1355" s="1008"/>
      <c r="AK1355" s="1008"/>
      <c r="AL1355" s="1008"/>
      <c r="AM1355" s="1008"/>
      <c r="AN1355" s="1008"/>
      <c r="AO1355" s="1008"/>
      <c r="AP1355" s="1008"/>
      <c r="AQ1355" s="1008"/>
      <c r="AR1355" s="1008"/>
      <c r="AS1355" s="1008"/>
      <c r="AT1355" s="1008"/>
      <c r="AU1355" s="1008"/>
      <c r="AV1355" s="1008"/>
      <c r="AW1355" s="1008"/>
      <c r="AX1355" s="1008"/>
    </row>
    <row r="1356" spans="15:50">
      <c r="O1356" s="989"/>
      <c r="P1356" s="1008"/>
      <c r="Q1356" s="1008"/>
      <c r="R1356" s="1008"/>
      <c r="S1356" s="1008"/>
      <c r="T1356" s="1008"/>
      <c r="U1356" s="1008"/>
      <c r="V1356" s="1008"/>
      <c r="W1356" s="1008"/>
      <c r="X1356" s="1008"/>
      <c r="Y1356" s="1008"/>
      <c r="Z1356" s="1008"/>
      <c r="AA1356" s="1008"/>
      <c r="AB1356" s="1008"/>
      <c r="AC1356" s="1008"/>
      <c r="AD1356" s="1008"/>
      <c r="AE1356" s="1008"/>
      <c r="AF1356" s="1008"/>
      <c r="AG1356" s="1008"/>
      <c r="AH1356" s="1008"/>
      <c r="AI1356" s="1008"/>
      <c r="AJ1356" s="1008"/>
      <c r="AK1356" s="1008"/>
      <c r="AL1356" s="1008"/>
      <c r="AM1356" s="1008"/>
      <c r="AN1356" s="1008"/>
      <c r="AO1356" s="1008"/>
      <c r="AP1356" s="1008"/>
      <c r="AQ1356" s="1008"/>
      <c r="AR1356" s="1008"/>
      <c r="AS1356" s="1008"/>
      <c r="AT1356" s="1008"/>
      <c r="AU1356" s="1008"/>
      <c r="AV1356" s="1008"/>
      <c r="AW1356" s="1008"/>
      <c r="AX1356" s="1008"/>
    </row>
    <row r="1357" spans="15:50">
      <c r="O1357" s="989"/>
      <c r="P1357" s="1008"/>
      <c r="Q1357" s="1008"/>
      <c r="R1357" s="1008"/>
      <c r="S1357" s="1008"/>
      <c r="T1357" s="1008"/>
      <c r="U1357" s="1008"/>
      <c r="V1357" s="1008"/>
      <c r="W1357" s="1008"/>
      <c r="X1357" s="1008"/>
      <c r="Y1357" s="1008"/>
      <c r="Z1357" s="1008"/>
      <c r="AA1357" s="1008"/>
      <c r="AB1357" s="1008"/>
      <c r="AC1357" s="1008"/>
      <c r="AD1357" s="1008"/>
      <c r="AE1357" s="1008"/>
      <c r="AF1357" s="1008"/>
      <c r="AG1357" s="1008"/>
      <c r="AH1357" s="1008"/>
      <c r="AI1357" s="1008"/>
      <c r="AJ1357" s="1008"/>
      <c r="AK1357" s="1008"/>
      <c r="AL1357" s="1008"/>
      <c r="AM1357" s="1008"/>
      <c r="AN1357" s="1008"/>
      <c r="AO1357" s="1008"/>
      <c r="AP1357" s="1008"/>
      <c r="AQ1357" s="1008"/>
      <c r="AR1357" s="1008"/>
      <c r="AS1357" s="1008"/>
      <c r="AT1357" s="1008"/>
      <c r="AU1357" s="1008"/>
      <c r="AV1357" s="1008"/>
      <c r="AW1357" s="1008"/>
      <c r="AX1357" s="1008"/>
    </row>
    <row r="1358" spans="15:50">
      <c r="O1358" s="989"/>
      <c r="P1358" s="1008"/>
      <c r="Q1358" s="1008"/>
      <c r="R1358" s="1008"/>
      <c r="S1358" s="1008"/>
      <c r="T1358" s="1008"/>
      <c r="U1358" s="1008"/>
      <c r="V1358" s="1008"/>
      <c r="W1358" s="1008"/>
      <c r="X1358" s="1008"/>
      <c r="Y1358" s="1008"/>
      <c r="Z1358" s="1008"/>
      <c r="AA1358" s="1008"/>
      <c r="AB1358" s="1008"/>
      <c r="AC1358" s="1008"/>
      <c r="AD1358" s="1008"/>
      <c r="AE1358" s="1008"/>
      <c r="AF1358" s="1008"/>
      <c r="AG1358" s="1008"/>
      <c r="AH1358" s="1008"/>
      <c r="AI1358" s="1008"/>
      <c r="AJ1358" s="1008"/>
      <c r="AK1358" s="1008"/>
      <c r="AL1358" s="1008"/>
      <c r="AM1358" s="1008"/>
      <c r="AN1358" s="1008"/>
      <c r="AO1358" s="1008"/>
      <c r="AP1358" s="1008"/>
      <c r="AQ1358" s="1008"/>
      <c r="AR1358" s="1008"/>
      <c r="AS1358" s="1008"/>
      <c r="AT1358" s="1008"/>
      <c r="AU1358" s="1008"/>
      <c r="AV1358" s="1008"/>
      <c r="AW1358" s="1008"/>
      <c r="AX1358" s="1008"/>
    </row>
    <row r="1359" spans="15:50">
      <c r="O1359" s="989"/>
      <c r="P1359" s="1008"/>
      <c r="Q1359" s="1008"/>
      <c r="R1359" s="1008"/>
      <c r="S1359" s="1008"/>
      <c r="T1359" s="1008"/>
      <c r="U1359" s="1008"/>
      <c r="V1359" s="1008"/>
      <c r="W1359" s="1008"/>
      <c r="X1359" s="1008"/>
      <c r="Y1359" s="1008"/>
      <c r="Z1359" s="1008"/>
      <c r="AA1359" s="1008"/>
      <c r="AB1359" s="1008"/>
      <c r="AC1359" s="1008"/>
      <c r="AD1359" s="1008"/>
      <c r="AE1359" s="1008"/>
      <c r="AF1359" s="1008"/>
      <c r="AG1359" s="1008"/>
      <c r="AH1359" s="1008"/>
      <c r="AI1359" s="1008"/>
      <c r="AJ1359" s="1008"/>
      <c r="AK1359" s="1008"/>
      <c r="AL1359" s="1008"/>
      <c r="AM1359" s="1008"/>
      <c r="AN1359" s="1008"/>
      <c r="AO1359" s="1008"/>
      <c r="AP1359" s="1008"/>
      <c r="AQ1359" s="1008"/>
      <c r="AR1359" s="1008"/>
      <c r="AS1359" s="1008"/>
      <c r="AT1359" s="1008"/>
      <c r="AU1359" s="1008"/>
      <c r="AV1359" s="1008"/>
      <c r="AW1359" s="1008"/>
      <c r="AX1359" s="1008"/>
    </row>
    <row r="1360" spans="15:50">
      <c r="O1360" s="989"/>
      <c r="P1360" s="1008"/>
      <c r="Q1360" s="1008"/>
      <c r="R1360" s="1008"/>
      <c r="S1360" s="1008"/>
      <c r="T1360" s="1008"/>
      <c r="U1360" s="1008"/>
      <c r="V1360" s="1008"/>
      <c r="W1360" s="1008"/>
      <c r="X1360" s="1008"/>
      <c r="Y1360" s="1008"/>
      <c r="Z1360" s="1008"/>
      <c r="AA1360" s="1008"/>
      <c r="AB1360" s="1008"/>
      <c r="AC1360" s="1008"/>
      <c r="AD1360" s="1008"/>
      <c r="AE1360" s="1008"/>
      <c r="AF1360" s="1008"/>
      <c r="AG1360" s="1008"/>
      <c r="AH1360" s="1008"/>
      <c r="AI1360" s="1008"/>
      <c r="AJ1360" s="1008"/>
      <c r="AK1360" s="1008"/>
      <c r="AL1360" s="1008"/>
      <c r="AM1360" s="1008"/>
      <c r="AN1360" s="1008"/>
      <c r="AO1360" s="1008"/>
      <c r="AP1360" s="1008"/>
      <c r="AQ1360" s="1008"/>
      <c r="AR1360" s="1008"/>
      <c r="AS1360" s="1008"/>
      <c r="AT1360" s="1008"/>
      <c r="AU1360" s="1008"/>
      <c r="AV1360" s="1008"/>
      <c r="AW1360" s="1008"/>
      <c r="AX1360" s="1008"/>
    </row>
    <row r="1361" spans="15:50">
      <c r="O1361" s="989"/>
      <c r="P1361" s="1008"/>
      <c r="Q1361" s="1008"/>
      <c r="R1361" s="1008"/>
      <c r="S1361" s="1008"/>
      <c r="T1361" s="1008"/>
      <c r="U1361" s="1008"/>
      <c r="V1361" s="1008"/>
      <c r="W1361" s="1008"/>
      <c r="X1361" s="1008"/>
      <c r="Y1361" s="1008"/>
      <c r="Z1361" s="1008"/>
      <c r="AA1361" s="1008"/>
      <c r="AB1361" s="1008"/>
      <c r="AC1361" s="1008"/>
      <c r="AD1361" s="1008"/>
      <c r="AE1361" s="1008"/>
      <c r="AF1361" s="1008"/>
      <c r="AG1361" s="1008"/>
      <c r="AH1361" s="1008"/>
      <c r="AI1361" s="1008"/>
      <c r="AJ1361" s="1008"/>
      <c r="AK1361" s="1008"/>
      <c r="AL1361" s="1008"/>
      <c r="AM1361" s="1008"/>
      <c r="AN1361" s="1008"/>
      <c r="AO1361" s="1008"/>
      <c r="AP1361" s="1008"/>
      <c r="AQ1361" s="1008"/>
      <c r="AR1361" s="1008"/>
      <c r="AS1361" s="1008"/>
      <c r="AT1361" s="1008"/>
      <c r="AU1361" s="1008"/>
      <c r="AV1361" s="1008"/>
      <c r="AW1361" s="1008"/>
      <c r="AX1361" s="1008"/>
    </row>
    <row r="1362" spans="15:50">
      <c r="O1362" s="989"/>
      <c r="P1362" s="1008"/>
      <c r="Q1362" s="1008"/>
      <c r="R1362" s="1008"/>
      <c r="S1362" s="1008"/>
      <c r="T1362" s="1008"/>
      <c r="U1362" s="1008"/>
      <c r="V1362" s="1008"/>
      <c r="W1362" s="1008"/>
      <c r="X1362" s="1008"/>
      <c r="Y1362" s="1008"/>
      <c r="Z1362" s="1008"/>
      <c r="AA1362" s="1008"/>
      <c r="AB1362" s="1008"/>
      <c r="AC1362" s="1008"/>
      <c r="AD1362" s="1008"/>
      <c r="AE1362" s="1008"/>
      <c r="AF1362" s="1008"/>
      <c r="AG1362" s="1008"/>
      <c r="AH1362" s="1008"/>
      <c r="AI1362" s="1008"/>
      <c r="AJ1362" s="1008"/>
      <c r="AK1362" s="1008"/>
      <c r="AL1362" s="1008"/>
      <c r="AM1362" s="1008"/>
      <c r="AN1362" s="1008"/>
      <c r="AO1362" s="1008"/>
      <c r="AP1362" s="1008"/>
      <c r="AQ1362" s="1008"/>
      <c r="AR1362" s="1008"/>
      <c r="AS1362" s="1008"/>
      <c r="AT1362" s="1008"/>
      <c r="AU1362" s="1008"/>
      <c r="AV1362" s="1008"/>
      <c r="AW1362" s="1008"/>
      <c r="AX1362" s="1008"/>
    </row>
    <row r="1363" spans="15:50">
      <c r="O1363" s="989"/>
      <c r="P1363" s="1008"/>
      <c r="Q1363" s="1008"/>
      <c r="R1363" s="1008"/>
      <c r="S1363" s="1008"/>
      <c r="T1363" s="1008"/>
      <c r="U1363" s="1008"/>
      <c r="V1363" s="1008"/>
      <c r="W1363" s="1008"/>
      <c r="X1363" s="1008"/>
      <c r="Y1363" s="1008"/>
      <c r="Z1363" s="1008"/>
      <c r="AA1363" s="1008"/>
      <c r="AB1363" s="1008"/>
      <c r="AC1363" s="1008"/>
      <c r="AD1363" s="1008"/>
      <c r="AE1363" s="1008"/>
      <c r="AF1363" s="1008"/>
      <c r="AG1363" s="1008"/>
      <c r="AH1363" s="1008"/>
      <c r="AI1363" s="1008"/>
      <c r="AJ1363" s="1008"/>
      <c r="AK1363" s="1008"/>
      <c r="AL1363" s="1008"/>
      <c r="AM1363" s="1008"/>
      <c r="AN1363" s="1008"/>
      <c r="AO1363" s="1008"/>
      <c r="AP1363" s="1008"/>
      <c r="AQ1363" s="1008"/>
      <c r="AR1363" s="1008"/>
      <c r="AS1363" s="1008"/>
      <c r="AT1363" s="1008"/>
      <c r="AU1363" s="1008"/>
      <c r="AV1363" s="1008"/>
      <c r="AW1363" s="1008"/>
      <c r="AX1363" s="1008"/>
    </row>
    <row r="1364" spans="15:50">
      <c r="O1364" s="989"/>
      <c r="P1364" s="1008"/>
      <c r="Q1364" s="1008"/>
      <c r="R1364" s="1008"/>
      <c r="S1364" s="1008"/>
      <c r="T1364" s="1008"/>
      <c r="U1364" s="1008"/>
      <c r="V1364" s="1008"/>
      <c r="W1364" s="1008"/>
      <c r="X1364" s="1008"/>
      <c r="Y1364" s="1008"/>
      <c r="Z1364" s="1008"/>
      <c r="AA1364" s="1008"/>
      <c r="AB1364" s="1008"/>
      <c r="AC1364" s="1008"/>
      <c r="AD1364" s="1008"/>
      <c r="AE1364" s="1008"/>
      <c r="AF1364" s="1008"/>
      <c r="AG1364" s="1008"/>
      <c r="AH1364" s="1008"/>
      <c r="AI1364" s="1008"/>
      <c r="AJ1364" s="1008"/>
      <c r="AK1364" s="1008"/>
      <c r="AL1364" s="1008"/>
      <c r="AM1364" s="1008"/>
      <c r="AN1364" s="1008"/>
      <c r="AO1364" s="1008"/>
      <c r="AP1364" s="1008"/>
      <c r="AQ1364" s="1008"/>
      <c r="AR1364" s="1008"/>
      <c r="AS1364" s="1008"/>
      <c r="AT1364" s="1008"/>
      <c r="AU1364" s="1008"/>
      <c r="AV1364" s="1008"/>
      <c r="AW1364" s="1008"/>
      <c r="AX1364" s="1008"/>
    </row>
    <row r="1365" spans="15:50">
      <c r="O1365" s="989"/>
      <c r="P1365" s="1008"/>
      <c r="Q1365" s="1008"/>
      <c r="R1365" s="1008"/>
      <c r="S1365" s="1008"/>
      <c r="T1365" s="1008"/>
      <c r="U1365" s="1008"/>
      <c r="V1365" s="1008"/>
      <c r="W1365" s="1008"/>
      <c r="X1365" s="1008"/>
      <c r="Y1365" s="1008"/>
      <c r="Z1365" s="1008"/>
      <c r="AA1365" s="1008"/>
      <c r="AB1365" s="1008"/>
      <c r="AC1365" s="1008"/>
      <c r="AD1365" s="1008"/>
      <c r="AE1365" s="1008"/>
      <c r="AF1365" s="1008"/>
      <c r="AG1365" s="1008"/>
      <c r="AH1365" s="1008"/>
      <c r="AI1365" s="1008"/>
      <c r="AJ1365" s="1008"/>
      <c r="AK1365" s="1008"/>
      <c r="AL1365" s="1008"/>
      <c r="AM1365" s="1008"/>
      <c r="AN1365" s="1008"/>
      <c r="AO1365" s="1008"/>
      <c r="AP1365" s="1008"/>
      <c r="AQ1365" s="1008"/>
      <c r="AR1365" s="1008"/>
      <c r="AS1365" s="1008"/>
      <c r="AT1365" s="1008"/>
      <c r="AU1365" s="1008"/>
      <c r="AV1365" s="1008"/>
      <c r="AW1365" s="1008"/>
      <c r="AX1365" s="1008"/>
    </row>
    <row r="1366" spans="15:50">
      <c r="O1366" s="989"/>
      <c r="P1366" s="1008"/>
      <c r="Q1366" s="1008"/>
      <c r="R1366" s="1008">
        <v>368506</v>
      </c>
      <c r="S1366" s="1008"/>
      <c r="T1366" s="1008"/>
      <c r="U1366" s="1008"/>
      <c r="V1366" s="1008"/>
      <c r="W1366" s="1008"/>
      <c r="X1366" s="1008"/>
      <c r="Y1366" s="1008"/>
      <c r="Z1366" s="1008"/>
      <c r="AA1366" s="1008"/>
      <c r="AB1366" s="1008"/>
      <c r="AC1366" s="1008"/>
      <c r="AD1366" s="1008"/>
      <c r="AE1366" s="1008"/>
      <c r="AF1366" s="1008"/>
      <c r="AG1366" s="1008"/>
      <c r="AH1366" s="1008"/>
      <c r="AI1366" s="1008"/>
      <c r="AJ1366" s="1008"/>
      <c r="AK1366" s="1008"/>
      <c r="AL1366" s="1008"/>
      <c r="AM1366" s="1008"/>
      <c r="AN1366" s="1008"/>
      <c r="AO1366" s="1008"/>
      <c r="AP1366" s="1008"/>
      <c r="AQ1366" s="1008"/>
      <c r="AR1366" s="1008"/>
      <c r="AS1366" s="1008"/>
      <c r="AT1366" s="1008"/>
      <c r="AU1366" s="1008"/>
      <c r="AV1366" s="1008"/>
      <c r="AW1366" s="1008"/>
      <c r="AX1366" s="1008"/>
    </row>
    <row r="1367" spans="15:50">
      <c r="O1367" s="989"/>
      <c r="P1367" s="1008"/>
      <c r="Q1367" s="1008"/>
      <c r="R1367" s="1008">
        <v>100078</v>
      </c>
      <c r="S1367" s="1008"/>
      <c r="T1367" s="1008"/>
      <c r="U1367" s="1008"/>
      <c r="V1367" s="1008"/>
      <c r="W1367" s="1008"/>
      <c r="X1367" s="1008"/>
      <c r="Y1367" s="1008"/>
      <c r="Z1367" s="1008"/>
      <c r="AA1367" s="1008"/>
      <c r="AB1367" s="1008"/>
      <c r="AC1367" s="1008"/>
      <c r="AD1367" s="1008"/>
      <c r="AE1367" s="1008"/>
      <c r="AF1367" s="1008"/>
      <c r="AG1367" s="1008"/>
      <c r="AH1367" s="1008"/>
      <c r="AI1367" s="1008"/>
      <c r="AJ1367" s="1008"/>
      <c r="AK1367" s="1008"/>
      <c r="AL1367" s="1008"/>
      <c r="AM1367" s="1008"/>
      <c r="AN1367" s="1008"/>
      <c r="AO1367" s="1008"/>
      <c r="AP1367" s="1008"/>
      <c r="AQ1367" s="1008"/>
      <c r="AR1367" s="1008"/>
      <c r="AS1367" s="1008"/>
      <c r="AT1367" s="1008"/>
      <c r="AU1367" s="1008"/>
      <c r="AV1367" s="1008"/>
      <c r="AW1367" s="1008"/>
      <c r="AX1367" s="1008"/>
    </row>
    <row r="1368" spans="15:50">
      <c r="O1368" s="989"/>
      <c r="P1368" s="1008"/>
      <c r="Q1368" s="1008"/>
      <c r="R1368" s="1008">
        <v>100078</v>
      </c>
      <c r="S1368" s="1008"/>
      <c r="T1368" s="1008"/>
      <c r="U1368" s="1008"/>
      <c r="V1368" s="1008"/>
      <c r="W1368" s="1008"/>
      <c r="X1368" s="1008"/>
      <c r="Y1368" s="1008"/>
      <c r="Z1368" s="1008"/>
      <c r="AA1368" s="1008"/>
      <c r="AB1368" s="1008"/>
      <c r="AC1368" s="1008"/>
      <c r="AD1368" s="1008"/>
      <c r="AE1368" s="1008"/>
      <c r="AF1368" s="1008"/>
      <c r="AG1368" s="1008"/>
      <c r="AH1368" s="1008"/>
      <c r="AI1368" s="1008"/>
      <c r="AJ1368" s="1008"/>
      <c r="AK1368" s="1008"/>
      <c r="AL1368" s="1008"/>
      <c r="AM1368" s="1008"/>
      <c r="AN1368" s="1008"/>
      <c r="AO1368" s="1008"/>
      <c r="AP1368" s="1008"/>
      <c r="AQ1368" s="1008"/>
      <c r="AR1368" s="1008"/>
      <c r="AS1368" s="1008"/>
      <c r="AT1368" s="1008"/>
      <c r="AU1368" s="1008"/>
      <c r="AV1368" s="1008"/>
      <c r="AW1368" s="1008"/>
      <c r="AX1368" s="1008"/>
    </row>
    <row r="1369" spans="15:50">
      <c r="O1369" s="989"/>
      <c r="P1369" s="1008"/>
      <c r="Q1369" s="1008"/>
      <c r="R1369" s="1008"/>
      <c r="S1369" s="1008"/>
      <c r="T1369" s="1008"/>
      <c r="U1369" s="1008"/>
      <c r="V1369" s="1008"/>
      <c r="W1369" s="1008"/>
      <c r="X1369" s="1008"/>
      <c r="Y1369" s="1008"/>
      <c r="Z1369" s="1008"/>
      <c r="AA1369" s="1008"/>
      <c r="AB1369" s="1008"/>
      <c r="AC1369" s="1008"/>
      <c r="AD1369" s="1008"/>
      <c r="AE1369" s="1008"/>
      <c r="AF1369" s="1008"/>
      <c r="AG1369" s="1008"/>
      <c r="AH1369" s="1008"/>
      <c r="AI1369" s="1008"/>
      <c r="AJ1369" s="1008"/>
      <c r="AK1369" s="1008"/>
      <c r="AL1369" s="1008"/>
      <c r="AM1369" s="1008"/>
      <c r="AN1369" s="1008"/>
      <c r="AO1369" s="1008"/>
      <c r="AP1369" s="1008"/>
      <c r="AQ1369" s="1008"/>
      <c r="AR1369" s="1008"/>
      <c r="AS1369" s="1008"/>
      <c r="AT1369" s="1008"/>
      <c r="AU1369" s="1008"/>
      <c r="AV1369" s="1008"/>
      <c r="AW1369" s="1008"/>
      <c r="AX1369" s="1008"/>
    </row>
    <row r="1370" spans="15:50">
      <c r="O1370" s="989"/>
      <c r="P1370" s="1008"/>
      <c r="Q1370" s="1008"/>
      <c r="R1370" s="1008"/>
      <c r="S1370" s="1008"/>
      <c r="T1370" s="1008"/>
      <c r="U1370" s="1008"/>
      <c r="V1370" s="1008"/>
      <c r="W1370" s="1008"/>
      <c r="X1370" s="1008"/>
      <c r="Y1370" s="1008"/>
      <c r="Z1370" s="1008"/>
      <c r="AA1370" s="1008"/>
      <c r="AB1370" s="1008"/>
      <c r="AC1370" s="1008"/>
      <c r="AD1370" s="1008"/>
      <c r="AE1370" s="1008"/>
      <c r="AF1370" s="1008"/>
      <c r="AG1370" s="1008"/>
      <c r="AH1370" s="1008"/>
      <c r="AI1370" s="1008"/>
      <c r="AJ1370" s="1008"/>
      <c r="AK1370" s="1008"/>
      <c r="AL1370" s="1008"/>
      <c r="AM1370" s="1008"/>
      <c r="AN1370" s="1008"/>
      <c r="AO1370" s="1008"/>
      <c r="AP1370" s="1008"/>
      <c r="AQ1370" s="1008"/>
      <c r="AR1370" s="1008"/>
      <c r="AS1370" s="1008"/>
      <c r="AT1370" s="1008"/>
      <c r="AU1370" s="1008"/>
      <c r="AV1370" s="1008"/>
      <c r="AW1370" s="1008"/>
      <c r="AX1370" s="1008"/>
    </row>
    <row r="1371" spans="15:50">
      <c r="O1371" s="989"/>
      <c r="P1371" s="1008"/>
      <c r="Q1371" s="1008"/>
      <c r="R1371" s="1008"/>
      <c r="S1371" s="1008"/>
      <c r="T1371" s="1008"/>
      <c r="U1371" s="1008"/>
      <c r="V1371" s="1008"/>
      <c r="W1371" s="1008"/>
      <c r="X1371" s="1008"/>
      <c r="Y1371" s="1008"/>
      <c r="Z1371" s="1008"/>
      <c r="AA1371" s="1008"/>
      <c r="AB1371" s="1008"/>
      <c r="AC1371" s="1008"/>
      <c r="AD1371" s="1008"/>
      <c r="AE1371" s="1008"/>
      <c r="AF1371" s="1008"/>
      <c r="AG1371" s="1008"/>
      <c r="AH1371" s="1008"/>
      <c r="AI1371" s="1008"/>
      <c r="AJ1371" s="1008"/>
      <c r="AK1371" s="1008"/>
      <c r="AL1371" s="1008"/>
      <c r="AM1371" s="1008"/>
      <c r="AN1371" s="1008"/>
      <c r="AO1371" s="1008"/>
      <c r="AP1371" s="1008"/>
      <c r="AQ1371" s="1008"/>
      <c r="AR1371" s="1008"/>
      <c r="AS1371" s="1008"/>
      <c r="AT1371" s="1008"/>
      <c r="AU1371" s="1008"/>
      <c r="AV1371" s="1008"/>
      <c r="AW1371" s="1008"/>
      <c r="AX1371" s="1008"/>
    </row>
    <row r="1372" spans="15:50">
      <c r="O1372" s="989"/>
      <c r="P1372" s="1008"/>
      <c r="Q1372" s="1008"/>
      <c r="R1372" s="1008"/>
      <c r="S1372" s="1008"/>
      <c r="T1372" s="1008"/>
      <c r="U1372" s="1008"/>
      <c r="V1372" s="1008"/>
      <c r="W1372" s="1008"/>
      <c r="X1372" s="1008"/>
      <c r="Y1372" s="1008"/>
      <c r="Z1372" s="1008"/>
      <c r="AA1372" s="1008"/>
      <c r="AB1372" s="1008"/>
      <c r="AC1372" s="1008"/>
      <c r="AD1372" s="1008"/>
      <c r="AE1372" s="1008"/>
      <c r="AF1372" s="1008"/>
      <c r="AG1372" s="1008"/>
      <c r="AH1372" s="1008"/>
      <c r="AI1372" s="1008"/>
      <c r="AJ1372" s="1008"/>
      <c r="AK1372" s="1008"/>
      <c r="AL1372" s="1008"/>
      <c r="AM1372" s="1008"/>
      <c r="AN1372" s="1008"/>
      <c r="AO1372" s="1008"/>
      <c r="AP1372" s="1008"/>
      <c r="AQ1372" s="1008"/>
      <c r="AR1372" s="1008"/>
      <c r="AS1372" s="1008"/>
      <c r="AT1372" s="1008"/>
      <c r="AU1372" s="1008"/>
      <c r="AV1372" s="1008"/>
      <c r="AW1372" s="1008"/>
      <c r="AX1372" s="1008"/>
    </row>
    <row r="1373" spans="15:50">
      <c r="O1373" s="989"/>
      <c r="P1373" s="1008"/>
      <c r="Q1373" s="1008"/>
      <c r="R1373" s="1008"/>
      <c r="S1373" s="1008"/>
      <c r="T1373" s="1008"/>
      <c r="U1373" s="1008"/>
      <c r="V1373" s="1008"/>
      <c r="W1373" s="1008"/>
      <c r="X1373" s="1008"/>
      <c r="Y1373" s="1008"/>
      <c r="Z1373" s="1008"/>
      <c r="AA1373" s="1008"/>
      <c r="AB1373" s="1008"/>
      <c r="AC1373" s="1008"/>
      <c r="AD1373" s="1008"/>
      <c r="AE1373" s="1008"/>
      <c r="AF1373" s="1008"/>
      <c r="AG1373" s="1008"/>
      <c r="AH1373" s="1008"/>
      <c r="AI1373" s="1008"/>
      <c r="AJ1373" s="1008"/>
      <c r="AK1373" s="1008"/>
      <c r="AL1373" s="1008"/>
      <c r="AM1373" s="1008"/>
      <c r="AN1373" s="1008"/>
      <c r="AO1373" s="1008"/>
      <c r="AP1373" s="1008"/>
      <c r="AQ1373" s="1008"/>
      <c r="AR1373" s="1008"/>
      <c r="AS1373" s="1008"/>
      <c r="AT1373" s="1008"/>
      <c r="AU1373" s="1008"/>
      <c r="AV1373" s="1008"/>
      <c r="AW1373" s="1008"/>
      <c r="AX1373" s="1008"/>
    </row>
    <row r="1374" spans="15:50">
      <c r="O1374" s="989"/>
      <c r="P1374" s="1008"/>
      <c r="Q1374" s="1008"/>
      <c r="R1374" s="1008"/>
      <c r="S1374" s="1008"/>
      <c r="T1374" s="1008"/>
      <c r="U1374" s="1008"/>
      <c r="V1374" s="1008"/>
      <c r="W1374" s="1008"/>
      <c r="X1374" s="1008"/>
      <c r="Y1374" s="1008"/>
      <c r="Z1374" s="1008"/>
      <c r="AA1374" s="1008"/>
      <c r="AB1374" s="1008"/>
      <c r="AC1374" s="1008"/>
      <c r="AD1374" s="1008"/>
      <c r="AE1374" s="1008"/>
      <c r="AF1374" s="1008"/>
      <c r="AG1374" s="1008"/>
      <c r="AH1374" s="1008"/>
      <c r="AI1374" s="1008"/>
      <c r="AJ1374" s="1008"/>
      <c r="AK1374" s="1008"/>
      <c r="AL1374" s="1008"/>
      <c r="AM1374" s="1008"/>
      <c r="AN1374" s="1008"/>
      <c r="AO1374" s="1008"/>
      <c r="AP1374" s="1008"/>
      <c r="AQ1374" s="1008"/>
      <c r="AR1374" s="1008"/>
      <c r="AS1374" s="1008"/>
      <c r="AT1374" s="1008"/>
      <c r="AU1374" s="1008"/>
      <c r="AV1374" s="1008"/>
      <c r="AW1374" s="1008"/>
      <c r="AX1374" s="1008"/>
    </row>
    <row r="1375" spans="15:50">
      <c r="O1375" s="989"/>
      <c r="P1375" s="1008"/>
      <c r="Q1375" s="1008"/>
      <c r="R1375" s="1008"/>
      <c r="S1375" s="1008"/>
      <c r="T1375" s="1008"/>
      <c r="U1375" s="1008"/>
      <c r="V1375" s="1008"/>
      <c r="W1375" s="1008"/>
      <c r="X1375" s="1008"/>
      <c r="Y1375" s="1008"/>
      <c r="Z1375" s="1008"/>
      <c r="AA1375" s="1008"/>
      <c r="AB1375" s="1008"/>
      <c r="AC1375" s="1008"/>
      <c r="AD1375" s="1008"/>
      <c r="AE1375" s="1008"/>
      <c r="AF1375" s="1008"/>
      <c r="AG1375" s="1008"/>
      <c r="AH1375" s="1008"/>
      <c r="AI1375" s="1008"/>
      <c r="AJ1375" s="1008"/>
      <c r="AK1375" s="1008"/>
      <c r="AL1375" s="1008"/>
      <c r="AM1375" s="1008"/>
      <c r="AN1375" s="1008"/>
      <c r="AO1375" s="1008"/>
      <c r="AP1375" s="1008"/>
      <c r="AQ1375" s="1008"/>
      <c r="AR1375" s="1008"/>
      <c r="AS1375" s="1008"/>
      <c r="AT1375" s="1008"/>
      <c r="AU1375" s="1008"/>
      <c r="AV1375" s="1008"/>
      <c r="AW1375" s="1008"/>
      <c r="AX1375" s="1008"/>
    </row>
    <row r="1376" spans="15:50">
      <c r="O1376" s="989"/>
      <c r="P1376" s="1008"/>
      <c r="Q1376" s="1008"/>
      <c r="R1376" s="1008"/>
      <c r="S1376" s="1008"/>
      <c r="T1376" s="1008"/>
      <c r="U1376" s="1008"/>
      <c r="V1376" s="1008"/>
      <c r="W1376" s="1008"/>
      <c r="X1376" s="1008"/>
      <c r="Y1376" s="1008"/>
      <c r="Z1376" s="1008"/>
      <c r="AA1376" s="1008"/>
      <c r="AB1376" s="1008"/>
      <c r="AC1376" s="1008"/>
      <c r="AD1376" s="1008"/>
      <c r="AE1376" s="1008"/>
      <c r="AF1376" s="1008"/>
      <c r="AG1376" s="1008"/>
      <c r="AH1376" s="1008"/>
      <c r="AI1376" s="1008"/>
      <c r="AJ1376" s="1008"/>
      <c r="AK1376" s="1008"/>
      <c r="AL1376" s="1008"/>
      <c r="AM1376" s="1008"/>
      <c r="AN1376" s="1008"/>
      <c r="AO1376" s="1008"/>
      <c r="AP1376" s="1008"/>
      <c r="AQ1376" s="1008"/>
      <c r="AR1376" s="1008"/>
      <c r="AS1376" s="1008"/>
      <c r="AT1376" s="1008"/>
      <c r="AU1376" s="1008"/>
      <c r="AV1376" s="1008"/>
      <c r="AW1376" s="1008"/>
      <c r="AX1376" s="1008"/>
    </row>
    <row r="1377" spans="15:50">
      <c r="O1377" s="989"/>
      <c r="P1377" s="1008"/>
      <c r="Q1377" s="1008"/>
      <c r="R1377" s="1008"/>
      <c r="S1377" s="1008"/>
      <c r="T1377" s="1008"/>
      <c r="U1377" s="1008"/>
      <c r="V1377" s="1008"/>
      <c r="W1377" s="1008"/>
      <c r="X1377" s="1008"/>
      <c r="Y1377" s="1008"/>
      <c r="Z1377" s="1008"/>
      <c r="AA1377" s="1008"/>
      <c r="AB1377" s="1008"/>
      <c r="AC1377" s="1008"/>
      <c r="AD1377" s="1008"/>
      <c r="AE1377" s="1008"/>
      <c r="AF1377" s="1008"/>
      <c r="AG1377" s="1008"/>
      <c r="AH1377" s="1008"/>
      <c r="AI1377" s="1008"/>
      <c r="AJ1377" s="1008"/>
      <c r="AK1377" s="1008"/>
      <c r="AL1377" s="1008"/>
      <c r="AM1377" s="1008"/>
      <c r="AN1377" s="1008"/>
      <c r="AO1377" s="1008"/>
      <c r="AP1377" s="1008"/>
      <c r="AQ1377" s="1008"/>
      <c r="AR1377" s="1008"/>
      <c r="AS1377" s="1008"/>
      <c r="AT1377" s="1008"/>
      <c r="AU1377" s="1008"/>
      <c r="AV1377" s="1008"/>
      <c r="AW1377" s="1008"/>
      <c r="AX1377" s="1008"/>
    </row>
    <row r="1378" spans="15:50">
      <c r="O1378" s="989"/>
      <c r="P1378" s="1008"/>
      <c r="Q1378" s="1008"/>
      <c r="R1378" s="1008"/>
      <c r="S1378" s="1008"/>
      <c r="T1378" s="1008"/>
      <c r="U1378" s="1008"/>
      <c r="V1378" s="1008"/>
      <c r="W1378" s="1008"/>
      <c r="X1378" s="1008"/>
      <c r="Y1378" s="1008"/>
      <c r="Z1378" s="1008"/>
      <c r="AA1378" s="1008"/>
      <c r="AB1378" s="1008"/>
      <c r="AC1378" s="1008"/>
      <c r="AD1378" s="1008"/>
      <c r="AE1378" s="1008"/>
      <c r="AF1378" s="1008"/>
      <c r="AG1378" s="1008"/>
      <c r="AH1378" s="1008"/>
      <c r="AI1378" s="1008"/>
      <c r="AJ1378" s="1008"/>
      <c r="AK1378" s="1008"/>
      <c r="AL1378" s="1008"/>
      <c r="AM1378" s="1008"/>
      <c r="AN1378" s="1008"/>
      <c r="AO1378" s="1008"/>
      <c r="AP1378" s="1008"/>
      <c r="AQ1378" s="1008"/>
      <c r="AR1378" s="1008"/>
      <c r="AS1378" s="1008"/>
      <c r="AT1378" s="1008"/>
      <c r="AU1378" s="1008"/>
      <c r="AV1378" s="1008"/>
      <c r="AW1378" s="1008"/>
      <c r="AX1378" s="1008"/>
    </row>
    <row r="1379" spans="15:50">
      <c r="O1379" s="989"/>
      <c r="P1379" s="1008"/>
      <c r="Q1379" s="1008"/>
      <c r="R1379" s="1008"/>
      <c r="S1379" s="1008"/>
      <c r="T1379" s="1008"/>
      <c r="U1379" s="1008"/>
      <c r="V1379" s="1008"/>
      <c r="W1379" s="1008"/>
      <c r="X1379" s="1008"/>
      <c r="Y1379" s="1008"/>
      <c r="Z1379" s="1008"/>
      <c r="AA1379" s="1008"/>
      <c r="AB1379" s="1008"/>
      <c r="AC1379" s="1008"/>
      <c r="AD1379" s="1008"/>
      <c r="AE1379" s="1008"/>
      <c r="AF1379" s="1008"/>
      <c r="AG1379" s="1008"/>
      <c r="AH1379" s="1008"/>
      <c r="AI1379" s="1008"/>
      <c r="AJ1379" s="1008"/>
      <c r="AK1379" s="1008"/>
      <c r="AL1379" s="1008"/>
      <c r="AM1379" s="1008"/>
      <c r="AN1379" s="1008"/>
      <c r="AO1379" s="1008"/>
      <c r="AP1379" s="1008"/>
      <c r="AQ1379" s="1008"/>
      <c r="AR1379" s="1008"/>
      <c r="AS1379" s="1008"/>
      <c r="AT1379" s="1008"/>
      <c r="AU1379" s="1008"/>
      <c r="AV1379" s="1008"/>
      <c r="AW1379" s="1008"/>
      <c r="AX1379" s="1008"/>
    </row>
    <row r="1380" spans="15:50">
      <c r="O1380" s="989"/>
      <c r="P1380" s="1008"/>
      <c r="Q1380" s="1008"/>
      <c r="R1380" s="1008"/>
      <c r="S1380" s="1008"/>
      <c r="T1380" s="1008"/>
      <c r="U1380" s="1008"/>
      <c r="V1380" s="1008"/>
      <c r="W1380" s="1008"/>
      <c r="X1380" s="1008"/>
      <c r="Y1380" s="1008"/>
      <c r="Z1380" s="1008"/>
      <c r="AA1380" s="1008"/>
      <c r="AB1380" s="1008"/>
      <c r="AC1380" s="1008"/>
      <c r="AD1380" s="1008"/>
      <c r="AE1380" s="1008"/>
      <c r="AF1380" s="1008"/>
      <c r="AG1380" s="1008"/>
      <c r="AH1380" s="1008"/>
      <c r="AI1380" s="1008"/>
      <c r="AJ1380" s="1008"/>
      <c r="AK1380" s="1008"/>
      <c r="AL1380" s="1008"/>
      <c r="AM1380" s="1008"/>
      <c r="AN1380" s="1008"/>
      <c r="AO1380" s="1008"/>
      <c r="AP1380" s="1008"/>
      <c r="AQ1380" s="1008"/>
      <c r="AR1380" s="1008"/>
      <c r="AS1380" s="1008"/>
      <c r="AT1380" s="1008"/>
      <c r="AU1380" s="1008"/>
      <c r="AV1380" s="1008"/>
      <c r="AW1380" s="1008"/>
      <c r="AX1380" s="1008"/>
    </row>
    <row r="1381" spans="15:50">
      <c r="O1381" s="989"/>
      <c r="P1381" s="1008"/>
      <c r="Q1381" s="1008"/>
      <c r="R1381" s="1008"/>
      <c r="S1381" s="1008"/>
      <c r="T1381" s="1008"/>
      <c r="U1381" s="1008"/>
      <c r="V1381" s="1008"/>
      <c r="W1381" s="1008"/>
      <c r="X1381" s="1008"/>
      <c r="Y1381" s="1008"/>
      <c r="Z1381" s="1008"/>
      <c r="AA1381" s="1008"/>
      <c r="AB1381" s="1008"/>
      <c r="AC1381" s="1008"/>
      <c r="AD1381" s="1008"/>
      <c r="AE1381" s="1008"/>
      <c r="AF1381" s="1008"/>
      <c r="AG1381" s="1008"/>
      <c r="AH1381" s="1008"/>
      <c r="AI1381" s="1008"/>
      <c r="AJ1381" s="1008"/>
      <c r="AK1381" s="1008"/>
      <c r="AL1381" s="1008"/>
      <c r="AM1381" s="1008"/>
      <c r="AN1381" s="1008"/>
      <c r="AO1381" s="1008"/>
      <c r="AP1381" s="1008"/>
      <c r="AQ1381" s="1008"/>
      <c r="AR1381" s="1008"/>
      <c r="AS1381" s="1008"/>
      <c r="AT1381" s="1008"/>
      <c r="AU1381" s="1008"/>
      <c r="AV1381" s="1008"/>
      <c r="AW1381" s="1008"/>
      <c r="AX1381" s="1008"/>
    </row>
    <row r="1382" spans="15:50">
      <c r="O1382" s="989"/>
      <c r="P1382" s="1008"/>
      <c r="Q1382" s="1008"/>
      <c r="R1382" s="1008"/>
      <c r="S1382" s="1008"/>
      <c r="T1382" s="1008"/>
      <c r="U1382" s="1008"/>
      <c r="V1382" s="1008"/>
      <c r="W1382" s="1008"/>
      <c r="X1382" s="1008"/>
      <c r="Y1382" s="1008"/>
      <c r="Z1382" s="1008"/>
      <c r="AA1382" s="1008"/>
      <c r="AB1382" s="1008"/>
      <c r="AC1382" s="1008"/>
      <c r="AD1382" s="1008"/>
      <c r="AE1382" s="1008"/>
      <c r="AF1382" s="1008"/>
      <c r="AG1382" s="1008"/>
      <c r="AH1382" s="1008"/>
      <c r="AI1382" s="1008"/>
      <c r="AJ1382" s="1008"/>
      <c r="AK1382" s="1008"/>
      <c r="AL1382" s="1008"/>
      <c r="AM1382" s="1008"/>
      <c r="AN1382" s="1008"/>
      <c r="AO1382" s="1008"/>
      <c r="AP1382" s="1008"/>
      <c r="AQ1382" s="1008"/>
      <c r="AR1382" s="1008"/>
      <c r="AS1382" s="1008"/>
      <c r="AT1382" s="1008"/>
      <c r="AU1382" s="1008"/>
      <c r="AV1382" s="1008"/>
      <c r="AW1382" s="1008"/>
      <c r="AX1382" s="1008"/>
    </row>
    <row r="1383" spans="15:50">
      <c r="O1383" s="989"/>
      <c r="P1383" s="1008"/>
      <c r="Q1383" s="1008"/>
      <c r="R1383" s="1008"/>
      <c r="S1383" s="1008"/>
      <c r="T1383" s="1008"/>
      <c r="U1383" s="1008"/>
      <c r="V1383" s="1008"/>
      <c r="W1383" s="1008"/>
      <c r="X1383" s="1008"/>
      <c r="Y1383" s="1008"/>
      <c r="Z1383" s="1008"/>
      <c r="AA1383" s="1008"/>
      <c r="AB1383" s="1008"/>
      <c r="AC1383" s="1008"/>
      <c r="AD1383" s="1008"/>
      <c r="AE1383" s="1008"/>
      <c r="AF1383" s="1008"/>
      <c r="AG1383" s="1008"/>
      <c r="AH1383" s="1008"/>
      <c r="AI1383" s="1008"/>
      <c r="AJ1383" s="1008"/>
      <c r="AK1383" s="1008"/>
      <c r="AL1383" s="1008"/>
      <c r="AM1383" s="1008"/>
      <c r="AN1383" s="1008"/>
      <c r="AO1383" s="1008"/>
      <c r="AP1383" s="1008"/>
      <c r="AQ1383" s="1008"/>
      <c r="AR1383" s="1008"/>
      <c r="AS1383" s="1008"/>
      <c r="AT1383" s="1008"/>
      <c r="AU1383" s="1008"/>
      <c r="AV1383" s="1008"/>
      <c r="AW1383" s="1008"/>
      <c r="AX1383" s="1008"/>
    </row>
    <row r="1384" spans="15:50">
      <c r="O1384" s="989"/>
      <c r="P1384" s="1008"/>
      <c r="Q1384" s="1008"/>
      <c r="R1384" s="1008"/>
      <c r="S1384" s="1008"/>
      <c r="T1384" s="1008"/>
      <c r="U1384" s="1008"/>
      <c r="V1384" s="1008"/>
      <c r="W1384" s="1008"/>
      <c r="X1384" s="1008"/>
      <c r="Y1384" s="1008"/>
      <c r="Z1384" s="1008"/>
      <c r="AA1384" s="1008"/>
      <c r="AB1384" s="1008"/>
      <c r="AC1384" s="1008"/>
      <c r="AD1384" s="1008"/>
      <c r="AE1384" s="1008"/>
      <c r="AF1384" s="1008"/>
      <c r="AG1384" s="1008"/>
      <c r="AH1384" s="1008"/>
      <c r="AI1384" s="1008"/>
      <c r="AJ1384" s="1008"/>
      <c r="AK1384" s="1008"/>
      <c r="AL1384" s="1008"/>
      <c r="AM1384" s="1008"/>
      <c r="AN1384" s="1008"/>
      <c r="AO1384" s="1008"/>
      <c r="AP1384" s="1008"/>
      <c r="AQ1384" s="1008"/>
      <c r="AR1384" s="1008"/>
      <c r="AS1384" s="1008"/>
      <c r="AT1384" s="1008"/>
      <c r="AU1384" s="1008"/>
      <c r="AV1384" s="1008"/>
      <c r="AW1384" s="1008"/>
      <c r="AX1384" s="1008"/>
    </row>
    <row r="1385" spans="15:50">
      <c r="O1385" s="989"/>
      <c r="P1385" s="1008"/>
      <c r="Q1385" s="1008"/>
      <c r="R1385" s="1008"/>
      <c r="S1385" s="1008"/>
      <c r="T1385" s="1008"/>
      <c r="U1385" s="1008"/>
      <c r="V1385" s="1008"/>
      <c r="W1385" s="1008"/>
      <c r="X1385" s="1008"/>
      <c r="Y1385" s="1008"/>
      <c r="Z1385" s="1008"/>
      <c r="AA1385" s="1008"/>
      <c r="AB1385" s="1008"/>
      <c r="AC1385" s="1008"/>
      <c r="AD1385" s="1008"/>
      <c r="AE1385" s="1008"/>
      <c r="AF1385" s="1008"/>
      <c r="AG1385" s="1008"/>
      <c r="AH1385" s="1008"/>
      <c r="AI1385" s="1008"/>
      <c r="AJ1385" s="1008"/>
      <c r="AK1385" s="1008"/>
      <c r="AL1385" s="1008"/>
      <c r="AM1385" s="1008"/>
      <c r="AN1385" s="1008"/>
      <c r="AO1385" s="1008"/>
      <c r="AP1385" s="1008"/>
      <c r="AQ1385" s="1008"/>
      <c r="AR1385" s="1008"/>
      <c r="AS1385" s="1008"/>
      <c r="AT1385" s="1008"/>
      <c r="AU1385" s="1008"/>
      <c r="AV1385" s="1008"/>
      <c r="AW1385" s="1008"/>
      <c r="AX1385" s="1008"/>
    </row>
    <row r="1386" spans="15:50">
      <c r="O1386" s="989"/>
      <c r="P1386" s="1008"/>
      <c r="Q1386" s="1008"/>
      <c r="R1386" s="1008"/>
      <c r="S1386" s="1008"/>
      <c r="T1386" s="1008"/>
      <c r="U1386" s="1008"/>
      <c r="V1386" s="1008"/>
      <c r="W1386" s="1008"/>
      <c r="X1386" s="1008"/>
      <c r="Y1386" s="1008"/>
      <c r="Z1386" s="1008"/>
      <c r="AA1386" s="1008"/>
      <c r="AB1386" s="1008"/>
      <c r="AC1386" s="1008"/>
      <c r="AD1386" s="1008"/>
      <c r="AE1386" s="1008"/>
      <c r="AF1386" s="1008"/>
      <c r="AG1386" s="1008"/>
      <c r="AH1386" s="1008"/>
      <c r="AI1386" s="1008"/>
      <c r="AJ1386" s="1008"/>
      <c r="AK1386" s="1008"/>
      <c r="AL1386" s="1008"/>
      <c r="AM1386" s="1008"/>
      <c r="AN1386" s="1008"/>
      <c r="AO1386" s="1008"/>
      <c r="AP1386" s="1008"/>
      <c r="AQ1386" s="1008"/>
      <c r="AR1386" s="1008"/>
      <c r="AS1386" s="1008"/>
      <c r="AT1386" s="1008"/>
      <c r="AU1386" s="1008"/>
      <c r="AV1386" s="1008"/>
      <c r="AW1386" s="1008"/>
      <c r="AX1386" s="1008"/>
    </row>
    <row r="1387" spans="15:50">
      <c r="O1387" s="989"/>
      <c r="P1387" s="1008"/>
      <c r="Q1387" s="1008"/>
      <c r="R1387" s="1008"/>
      <c r="S1387" s="1008"/>
      <c r="T1387" s="1008"/>
      <c r="U1387" s="1008"/>
      <c r="V1387" s="1008"/>
      <c r="W1387" s="1008"/>
      <c r="X1387" s="1008"/>
      <c r="Y1387" s="1008"/>
      <c r="Z1387" s="1008"/>
      <c r="AA1387" s="1008"/>
      <c r="AB1387" s="1008"/>
      <c r="AC1387" s="1008"/>
      <c r="AD1387" s="1008"/>
      <c r="AE1387" s="1008"/>
      <c r="AF1387" s="1008"/>
      <c r="AG1387" s="1008"/>
      <c r="AH1387" s="1008"/>
      <c r="AI1387" s="1008"/>
      <c r="AJ1387" s="1008"/>
      <c r="AK1387" s="1008"/>
      <c r="AL1387" s="1008"/>
      <c r="AM1387" s="1008"/>
      <c r="AN1387" s="1008"/>
      <c r="AO1387" s="1008"/>
      <c r="AP1387" s="1008"/>
      <c r="AQ1387" s="1008"/>
      <c r="AR1387" s="1008"/>
      <c r="AS1387" s="1008"/>
      <c r="AT1387" s="1008"/>
      <c r="AU1387" s="1008"/>
      <c r="AV1387" s="1008"/>
      <c r="AW1387" s="1008"/>
      <c r="AX1387" s="1008"/>
    </row>
    <row r="1388" spans="15:50">
      <c r="O1388" s="989"/>
      <c r="P1388" s="1008"/>
      <c r="Q1388" s="1008"/>
      <c r="R1388" s="1008"/>
      <c r="S1388" s="1008"/>
      <c r="T1388" s="1008"/>
      <c r="U1388" s="1008"/>
      <c r="V1388" s="1008"/>
      <c r="W1388" s="1008"/>
      <c r="X1388" s="1008"/>
      <c r="Y1388" s="1008"/>
      <c r="Z1388" s="1008"/>
      <c r="AA1388" s="1008"/>
      <c r="AB1388" s="1008"/>
      <c r="AC1388" s="1008"/>
      <c r="AD1388" s="1008"/>
      <c r="AE1388" s="1008"/>
      <c r="AF1388" s="1008"/>
      <c r="AG1388" s="1008"/>
      <c r="AH1388" s="1008"/>
      <c r="AI1388" s="1008"/>
      <c r="AJ1388" s="1008"/>
      <c r="AK1388" s="1008"/>
      <c r="AL1388" s="1008"/>
      <c r="AM1388" s="1008"/>
      <c r="AN1388" s="1008"/>
      <c r="AO1388" s="1008"/>
      <c r="AP1388" s="1008"/>
      <c r="AQ1388" s="1008"/>
      <c r="AR1388" s="1008"/>
      <c r="AS1388" s="1008"/>
      <c r="AT1388" s="1008"/>
      <c r="AU1388" s="1008"/>
      <c r="AV1388" s="1008"/>
      <c r="AW1388" s="1008"/>
      <c r="AX1388" s="1008"/>
    </row>
    <row r="1389" spans="15:50">
      <c r="O1389" s="989"/>
      <c r="P1389" s="1008"/>
      <c r="Q1389" s="1008"/>
      <c r="R1389" s="1008"/>
      <c r="S1389" s="1008"/>
      <c r="T1389" s="1008"/>
      <c r="U1389" s="1008"/>
      <c r="V1389" s="1008"/>
      <c r="W1389" s="1008"/>
      <c r="X1389" s="1008"/>
      <c r="Y1389" s="1008"/>
      <c r="Z1389" s="1008"/>
      <c r="AA1389" s="1008"/>
      <c r="AB1389" s="1008"/>
      <c r="AC1389" s="1008"/>
      <c r="AD1389" s="1008"/>
      <c r="AE1389" s="1008"/>
      <c r="AF1389" s="1008"/>
      <c r="AG1389" s="1008"/>
      <c r="AH1389" s="1008"/>
      <c r="AI1389" s="1008"/>
      <c r="AJ1389" s="1008"/>
      <c r="AK1389" s="1008"/>
      <c r="AL1389" s="1008"/>
      <c r="AM1389" s="1008"/>
      <c r="AN1389" s="1008"/>
      <c r="AO1389" s="1008"/>
      <c r="AP1389" s="1008"/>
      <c r="AQ1389" s="1008"/>
      <c r="AR1389" s="1008"/>
      <c r="AS1389" s="1008"/>
      <c r="AT1389" s="1008"/>
      <c r="AU1389" s="1008"/>
      <c r="AV1389" s="1008"/>
      <c r="AW1389" s="1008"/>
      <c r="AX1389" s="1008"/>
    </row>
    <row r="1390" spans="15:50">
      <c r="O1390" s="989"/>
      <c r="P1390" s="1008"/>
      <c r="Q1390" s="1008"/>
      <c r="R1390" s="1008"/>
      <c r="S1390" s="1008"/>
      <c r="T1390" s="1008"/>
      <c r="U1390" s="1008"/>
      <c r="V1390" s="1008"/>
      <c r="W1390" s="1008"/>
      <c r="X1390" s="1008"/>
      <c r="Y1390" s="1008"/>
      <c r="Z1390" s="1008"/>
      <c r="AA1390" s="1008"/>
      <c r="AB1390" s="1008"/>
      <c r="AC1390" s="1008"/>
      <c r="AD1390" s="1008"/>
      <c r="AE1390" s="1008"/>
      <c r="AF1390" s="1008"/>
      <c r="AG1390" s="1008"/>
      <c r="AH1390" s="1008"/>
      <c r="AI1390" s="1008"/>
      <c r="AJ1390" s="1008"/>
      <c r="AK1390" s="1008"/>
      <c r="AL1390" s="1008"/>
      <c r="AM1390" s="1008"/>
      <c r="AN1390" s="1008"/>
      <c r="AO1390" s="1008"/>
      <c r="AP1390" s="1008"/>
      <c r="AQ1390" s="1008"/>
      <c r="AR1390" s="1008"/>
      <c r="AS1390" s="1008"/>
      <c r="AT1390" s="1008"/>
      <c r="AU1390" s="1008"/>
      <c r="AV1390" s="1008"/>
      <c r="AW1390" s="1008"/>
      <c r="AX1390" s="1008"/>
    </row>
    <row r="1391" spans="15:50">
      <c r="O1391" s="989"/>
      <c r="P1391" s="1008"/>
      <c r="Q1391" s="1008"/>
      <c r="R1391" s="1008"/>
      <c r="S1391" s="1008"/>
      <c r="T1391" s="1008"/>
      <c r="U1391" s="1008"/>
      <c r="V1391" s="1008"/>
      <c r="W1391" s="1008"/>
      <c r="X1391" s="1008"/>
      <c r="Y1391" s="1008"/>
      <c r="Z1391" s="1008"/>
      <c r="AA1391" s="1008"/>
      <c r="AB1391" s="1008"/>
      <c r="AC1391" s="1008"/>
      <c r="AD1391" s="1008"/>
      <c r="AE1391" s="1008"/>
      <c r="AF1391" s="1008"/>
      <c r="AG1391" s="1008"/>
      <c r="AH1391" s="1008"/>
      <c r="AI1391" s="1008"/>
      <c r="AJ1391" s="1008"/>
      <c r="AK1391" s="1008"/>
      <c r="AL1391" s="1008"/>
      <c r="AM1391" s="1008"/>
      <c r="AN1391" s="1008"/>
      <c r="AO1391" s="1008"/>
      <c r="AP1391" s="1008"/>
      <c r="AQ1391" s="1008"/>
      <c r="AR1391" s="1008"/>
      <c r="AS1391" s="1008"/>
      <c r="AT1391" s="1008"/>
      <c r="AU1391" s="1008"/>
      <c r="AV1391" s="1008"/>
      <c r="AW1391" s="1008"/>
      <c r="AX1391" s="1008"/>
    </row>
    <row r="1392" spans="15:50">
      <c r="O1392" s="989"/>
      <c r="P1392" s="1008"/>
      <c r="Q1392" s="1008"/>
      <c r="R1392" s="1008"/>
      <c r="S1392" s="1008"/>
      <c r="T1392" s="1008"/>
      <c r="U1392" s="1008"/>
      <c r="V1392" s="1008"/>
      <c r="W1392" s="1008"/>
      <c r="X1392" s="1008"/>
      <c r="Y1392" s="1008"/>
      <c r="Z1392" s="1008"/>
      <c r="AA1392" s="1008"/>
      <c r="AB1392" s="1008"/>
      <c r="AC1392" s="1008"/>
      <c r="AD1392" s="1008"/>
      <c r="AE1392" s="1008"/>
      <c r="AF1392" s="1008"/>
      <c r="AG1392" s="1008"/>
      <c r="AH1392" s="1008"/>
      <c r="AI1392" s="1008"/>
      <c r="AJ1392" s="1008"/>
      <c r="AK1392" s="1008"/>
      <c r="AL1392" s="1008"/>
      <c r="AM1392" s="1008"/>
      <c r="AN1392" s="1008"/>
      <c r="AO1392" s="1008"/>
      <c r="AP1392" s="1008"/>
      <c r="AQ1392" s="1008"/>
      <c r="AR1392" s="1008"/>
      <c r="AS1392" s="1008"/>
      <c r="AT1392" s="1008"/>
      <c r="AU1392" s="1008"/>
      <c r="AV1392" s="1008"/>
      <c r="AW1392" s="1008"/>
      <c r="AX1392" s="1008"/>
    </row>
    <row r="1393" spans="15:50">
      <c r="O1393" s="989"/>
      <c r="P1393" s="1008"/>
      <c r="Q1393" s="1008"/>
      <c r="R1393" s="1008"/>
      <c r="S1393" s="1008"/>
      <c r="T1393" s="1008"/>
      <c r="U1393" s="1008"/>
      <c r="V1393" s="1008"/>
      <c r="W1393" s="1008"/>
      <c r="X1393" s="1008"/>
      <c r="Y1393" s="1008"/>
      <c r="Z1393" s="1008"/>
      <c r="AA1393" s="1008"/>
      <c r="AB1393" s="1008"/>
      <c r="AC1393" s="1008"/>
      <c r="AD1393" s="1008"/>
      <c r="AE1393" s="1008"/>
      <c r="AF1393" s="1008"/>
      <c r="AG1393" s="1008"/>
      <c r="AH1393" s="1008"/>
      <c r="AI1393" s="1008"/>
      <c r="AJ1393" s="1008"/>
      <c r="AK1393" s="1008"/>
      <c r="AL1393" s="1008"/>
      <c r="AM1393" s="1008"/>
      <c r="AN1393" s="1008"/>
      <c r="AO1393" s="1008"/>
      <c r="AP1393" s="1008"/>
      <c r="AQ1393" s="1008"/>
      <c r="AR1393" s="1008"/>
      <c r="AS1393" s="1008"/>
      <c r="AT1393" s="1008"/>
      <c r="AU1393" s="1008"/>
      <c r="AV1393" s="1008"/>
      <c r="AW1393" s="1008"/>
      <c r="AX1393" s="1008"/>
    </row>
    <row r="1394" spans="15:50">
      <c r="O1394" s="989"/>
      <c r="P1394" s="1008"/>
      <c r="Q1394" s="1008"/>
      <c r="R1394" s="1008"/>
      <c r="S1394" s="1008"/>
      <c r="T1394" s="1008"/>
      <c r="U1394" s="1008"/>
      <c r="V1394" s="1008"/>
      <c r="W1394" s="1008"/>
      <c r="X1394" s="1008"/>
      <c r="Y1394" s="1008"/>
      <c r="Z1394" s="1008"/>
      <c r="AA1394" s="1008"/>
      <c r="AB1394" s="1008"/>
      <c r="AC1394" s="1008"/>
      <c r="AD1394" s="1008"/>
      <c r="AE1394" s="1008"/>
      <c r="AF1394" s="1008"/>
      <c r="AG1394" s="1008"/>
      <c r="AH1394" s="1008"/>
      <c r="AI1394" s="1008"/>
      <c r="AJ1394" s="1008"/>
      <c r="AK1394" s="1008"/>
      <c r="AL1394" s="1008"/>
      <c r="AM1394" s="1008"/>
      <c r="AN1394" s="1008"/>
      <c r="AO1394" s="1008"/>
      <c r="AP1394" s="1008"/>
      <c r="AQ1394" s="1008"/>
      <c r="AR1394" s="1008"/>
      <c r="AS1394" s="1008"/>
      <c r="AT1394" s="1008"/>
      <c r="AU1394" s="1008"/>
      <c r="AV1394" s="1008"/>
      <c r="AW1394" s="1008"/>
      <c r="AX1394" s="1008"/>
    </row>
    <row r="1395" spans="15:50">
      <c r="O1395" s="989"/>
      <c r="P1395" s="1008"/>
      <c r="Q1395" s="1008"/>
      <c r="R1395" s="1008"/>
      <c r="S1395" s="1008"/>
      <c r="T1395" s="1008"/>
      <c r="U1395" s="1008"/>
      <c r="V1395" s="1008"/>
      <c r="W1395" s="1008"/>
      <c r="X1395" s="1008"/>
      <c r="Y1395" s="1008"/>
      <c r="Z1395" s="1008"/>
      <c r="AA1395" s="1008"/>
      <c r="AB1395" s="1008"/>
      <c r="AC1395" s="1008"/>
      <c r="AD1395" s="1008"/>
      <c r="AE1395" s="1008"/>
      <c r="AF1395" s="1008"/>
      <c r="AG1395" s="1008"/>
      <c r="AH1395" s="1008"/>
      <c r="AI1395" s="1008"/>
      <c r="AJ1395" s="1008"/>
      <c r="AK1395" s="1008"/>
      <c r="AL1395" s="1008"/>
      <c r="AM1395" s="1008"/>
      <c r="AN1395" s="1008"/>
      <c r="AO1395" s="1008"/>
      <c r="AP1395" s="1008"/>
      <c r="AQ1395" s="1008"/>
      <c r="AR1395" s="1008"/>
      <c r="AS1395" s="1008"/>
      <c r="AT1395" s="1008"/>
      <c r="AU1395" s="1008"/>
      <c r="AV1395" s="1008"/>
      <c r="AW1395" s="1008"/>
      <c r="AX1395" s="1008"/>
    </row>
    <row r="1396" spans="15:50">
      <c r="O1396" s="989"/>
      <c r="P1396" s="1008"/>
      <c r="Q1396" s="1008"/>
      <c r="R1396" s="1008"/>
      <c r="S1396" s="1008"/>
      <c r="T1396" s="1008"/>
      <c r="U1396" s="1008"/>
      <c r="V1396" s="1008"/>
      <c r="W1396" s="1008"/>
      <c r="X1396" s="1008"/>
      <c r="Y1396" s="1008"/>
      <c r="Z1396" s="1008"/>
      <c r="AA1396" s="1008"/>
      <c r="AB1396" s="1008"/>
      <c r="AC1396" s="1008"/>
      <c r="AD1396" s="1008"/>
      <c r="AE1396" s="1008"/>
      <c r="AF1396" s="1008"/>
      <c r="AG1396" s="1008"/>
      <c r="AH1396" s="1008"/>
      <c r="AI1396" s="1008"/>
      <c r="AJ1396" s="1008"/>
      <c r="AK1396" s="1008"/>
      <c r="AL1396" s="1008"/>
      <c r="AM1396" s="1008"/>
      <c r="AN1396" s="1008"/>
      <c r="AO1396" s="1008"/>
      <c r="AP1396" s="1008"/>
      <c r="AQ1396" s="1008"/>
      <c r="AR1396" s="1008"/>
      <c r="AS1396" s="1008"/>
      <c r="AT1396" s="1008"/>
      <c r="AU1396" s="1008"/>
      <c r="AV1396" s="1008"/>
      <c r="AW1396" s="1008"/>
      <c r="AX1396" s="1008"/>
    </row>
    <row r="1397" spans="15:50">
      <c r="O1397" s="989"/>
      <c r="P1397" s="1008"/>
      <c r="Q1397" s="1008"/>
      <c r="R1397" s="1008"/>
      <c r="S1397" s="1008"/>
      <c r="T1397" s="1008"/>
      <c r="U1397" s="1008"/>
      <c r="V1397" s="1008"/>
      <c r="W1397" s="1008"/>
      <c r="X1397" s="1008"/>
      <c r="Y1397" s="1008"/>
      <c r="Z1397" s="1008"/>
      <c r="AA1397" s="1008"/>
      <c r="AB1397" s="1008"/>
      <c r="AC1397" s="1008"/>
      <c r="AD1397" s="1008"/>
      <c r="AE1397" s="1008"/>
      <c r="AF1397" s="1008"/>
      <c r="AG1397" s="1008"/>
      <c r="AH1397" s="1008"/>
      <c r="AI1397" s="1008"/>
      <c r="AJ1397" s="1008"/>
      <c r="AK1397" s="1008"/>
      <c r="AL1397" s="1008"/>
      <c r="AM1397" s="1008"/>
      <c r="AN1397" s="1008"/>
      <c r="AO1397" s="1008"/>
      <c r="AP1397" s="1008"/>
      <c r="AQ1397" s="1008"/>
      <c r="AR1397" s="1008"/>
      <c r="AS1397" s="1008"/>
      <c r="AT1397" s="1008"/>
      <c r="AU1397" s="1008"/>
      <c r="AV1397" s="1008"/>
      <c r="AW1397" s="1008"/>
      <c r="AX1397" s="1008"/>
    </row>
    <row r="1398" spans="15:50">
      <c r="O1398" s="989"/>
      <c r="P1398" s="1008"/>
      <c r="Q1398" s="1008"/>
      <c r="R1398" s="1008"/>
      <c r="S1398" s="1008"/>
      <c r="T1398" s="1008"/>
      <c r="U1398" s="1008"/>
      <c r="V1398" s="1008"/>
      <c r="W1398" s="1008"/>
      <c r="X1398" s="1008"/>
      <c r="Y1398" s="1008"/>
      <c r="Z1398" s="1008"/>
      <c r="AA1398" s="1008"/>
      <c r="AB1398" s="1008"/>
      <c r="AC1398" s="1008"/>
      <c r="AD1398" s="1008"/>
      <c r="AE1398" s="1008"/>
      <c r="AF1398" s="1008"/>
      <c r="AG1398" s="1008"/>
      <c r="AH1398" s="1008"/>
      <c r="AI1398" s="1008"/>
      <c r="AJ1398" s="1008"/>
      <c r="AK1398" s="1008"/>
      <c r="AL1398" s="1008"/>
      <c r="AM1398" s="1008"/>
      <c r="AN1398" s="1008"/>
      <c r="AO1398" s="1008"/>
      <c r="AP1398" s="1008"/>
      <c r="AQ1398" s="1008"/>
      <c r="AR1398" s="1008"/>
      <c r="AS1398" s="1008"/>
      <c r="AT1398" s="1008"/>
      <c r="AU1398" s="1008"/>
      <c r="AV1398" s="1008"/>
      <c r="AW1398" s="1008"/>
      <c r="AX1398" s="1008"/>
    </row>
    <row r="1399" spans="15:50">
      <c r="O1399" s="989"/>
      <c r="P1399" s="1008"/>
      <c r="Q1399" s="1008"/>
      <c r="R1399" s="1008"/>
      <c r="S1399" s="1008"/>
      <c r="T1399" s="1008"/>
      <c r="U1399" s="1008"/>
      <c r="V1399" s="1008"/>
      <c r="W1399" s="1008"/>
      <c r="X1399" s="1008"/>
      <c r="Y1399" s="1008"/>
      <c r="Z1399" s="1008"/>
      <c r="AA1399" s="1008"/>
      <c r="AB1399" s="1008"/>
      <c r="AC1399" s="1008"/>
      <c r="AD1399" s="1008"/>
      <c r="AE1399" s="1008"/>
      <c r="AF1399" s="1008"/>
      <c r="AG1399" s="1008"/>
      <c r="AH1399" s="1008"/>
      <c r="AI1399" s="1008"/>
      <c r="AJ1399" s="1008"/>
      <c r="AK1399" s="1008"/>
      <c r="AL1399" s="1008"/>
      <c r="AM1399" s="1008"/>
      <c r="AN1399" s="1008"/>
      <c r="AO1399" s="1008"/>
      <c r="AP1399" s="1008"/>
      <c r="AQ1399" s="1008"/>
      <c r="AR1399" s="1008"/>
      <c r="AS1399" s="1008"/>
      <c r="AT1399" s="1008"/>
      <c r="AU1399" s="1008"/>
      <c r="AV1399" s="1008"/>
      <c r="AW1399" s="1008"/>
      <c r="AX1399" s="1008"/>
    </row>
    <row r="1400" spans="15:50">
      <c r="O1400" s="989"/>
      <c r="P1400" s="1008"/>
      <c r="Q1400" s="1008"/>
      <c r="R1400" s="1008"/>
      <c r="S1400" s="1008"/>
      <c r="T1400" s="1008"/>
      <c r="U1400" s="1008"/>
      <c r="V1400" s="1008"/>
      <c r="W1400" s="1008"/>
      <c r="X1400" s="1008"/>
      <c r="Y1400" s="1008"/>
      <c r="Z1400" s="1008"/>
      <c r="AA1400" s="1008"/>
      <c r="AB1400" s="1008"/>
      <c r="AC1400" s="1008"/>
      <c r="AD1400" s="1008"/>
      <c r="AE1400" s="1008"/>
      <c r="AF1400" s="1008"/>
      <c r="AG1400" s="1008"/>
      <c r="AH1400" s="1008"/>
      <c r="AI1400" s="1008"/>
      <c r="AJ1400" s="1008"/>
      <c r="AK1400" s="1008"/>
      <c r="AL1400" s="1008"/>
      <c r="AM1400" s="1008"/>
      <c r="AN1400" s="1008"/>
      <c r="AO1400" s="1008"/>
      <c r="AP1400" s="1008"/>
      <c r="AQ1400" s="1008"/>
      <c r="AR1400" s="1008"/>
      <c r="AS1400" s="1008"/>
      <c r="AT1400" s="1008"/>
      <c r="AU1400" s="1008"/>
      <c r="AV1400" s="1008"/>
      <c r="AW1400" s="1008"/>
      <c r="AX1400" s="1008"/>
    </row>
    <row r="1401" spans="15:50">
      <c r="O1401" s="989"/>
      <c r="P1401" s="1008"/>
      <c r="Q1401" s="1008"/>
      <c r="R1401" s="1008"/>
      <c r="S1401" s="1008"/>
      <c r="T1401" s="1008"/>
      <c r="U1401" s="1008"/>
      <c r="V1401" s="1008"/>
      <c r="W1401" s="1008"/>
      <c r="X1401" s="1008"/>
      <c r="Y1401" s="1008"/>
      <c r="Z1401" s="1008"/>
      <c r="AA1401" s="1008"/>
      <c r="AB1401" s="1008"/>
      <c r="AC1401" s="1008"/>
      <c r="AD1401" s="1008"/>
      <c r="AE1401" s="1008"/>
      <c r="AF1401" s="1008"/>
      <c r="AG1401" s="1008"/>
      <c r="AH1401" s="1008"/>
      <c r="AI1401" s="1008"/>
      <c r="AJ1401" s="1008"/>
      <c r="AK1401" s="1008"/>
      <c r="AL1401" s="1008"/>
      <c r="AM1401" s="1008"/>
      <c r="AN1401" s="1008"/>
      <c r="AO1401" s="1008"/>
      <c r="AP1401" s="1008"/>
      <c r="AQ1401" s="1008"/>
      <c r="AR1401" s="1008"/>
      <c r="AS1401" s="1008"/>
      <c r="AT1401" s="1008"/>
      <c r="AU1401" s="1008"/>
      <c r="AV1401" s="1008"/>
      <c r="AW1401" s="1008"/>
      <c r="AX1401" s="1008"/>
    </row>
    <row r="1402" spans="15:50">
      <c r="O1402" s="989"/>
      <c r="P1402" s="1008"/>
      <c r="Q1402" s="1008"/>
      <c r="R1402" s="1008"/>
      <c r="S1402" s="1008"/>
      <c r="T1402" s="1008"/>
      <c r="U1402" s="1008"/>
      <c r="V1402" s="1008"/>
      <c r="W1402" s="1008"/>
      <c r="X1402" s="1008"/>
      <c r="Y1402" s="1008"/>
      <c r="Z1402" s="1008"/>
      <c r="AA1402" s="1008"/>
      <c r="AB1402" s="1008"/>
      <c r="AC1402" s="1008"/>
      <c r="AD1402" s="1008"/>
      <c r="AE1402" s="1008"/>
      <c r="AF1402" s="1008"/>
      <c r="AG1402" s="1008"/>
      <c r="AH1402" s="1008"/>
      <c r="AI1402" s="1008"/>
      <c r="AJ1402" s="1008"/>
      <c r="AK1402" s="1008"/>
      <c r="AL1402" s="1008"/>
      <c r="AM1402" s="1008"/>
      <c r="AN1402" s="1008"/>
      <c r="AO1402" s="1008"/>
      <c r="AP1402" s="1008"/>
      <c r="AQ1402" s="1008"/>
      <c r="AR1402" s="1008"/>
      <c r="AS1402" s="1008"/>
      <c r="AT1402" s="1008"/>
      <c r="AU1402" s="1008"/>
      <c r="AV1402" s="1008"/>
      <c r="AW1402" s="1008"/>
      <c r="AX1402" s="1008"/>
    </row>
    <row r="1403" spans="15:50">
      <c r="O1403" s="989"/>
      <c r="P1403" s="1008"/>
      <c r="Q1403" s="1008"/>
      <c r="R1403" s="1008"/>
      <c r="S1403" s="1008"/>
      <c r="T1403" s="1008"/>
      <c r="U1403" s="1008"/>
      <c r="V1403" s="1008"/>
      <c r="W1403" s="1008"/>
      <c r="X1403" s="1008"/>
      <c r="Y1403" s="1008"/>
      <c r="Z1403" s="1008"/>
      <c r="AA1403" s="1008"/>
      <c r="AB1403" s="1008"/>
      <c r="AC1403" s="1008"/>
      <c r="AD1403" s="1008"/>
      <c r="AE1403" s="1008"/>
      <c r="AF1403" s="1008"/>
      <c r="AG1403" s="1008"/>
      <c r="AH1403" s="1008"/>
      <c r="AI1403" s="1008"/>
      <c r="AJ1403" s="1008"/>
      <c r="AK1403" s="1008"/>
      <c r="AL1403" s="1008"/>
      <c r="AM1403" s="1008"/>
      <c r="AN1403" s="1008"/>
      <c r="AO1403" s="1008"/>
      <c r="AP1403" s="1008"/>
      <c r="AQ1403" s="1008"/>
      <c r="AR1403" s="1008"/>
      <c r="AS1403" s="1008"/>
      <c r="AT1403" s="1008"/>
      <c r="AU1403" s="1008"/>
      <c r="AV1403" s="1008"/>
      <c r="AW1403" s="1008"/>
      <c r="AX1403" s="1008"/>
    </row>
    <row r="1404" spans="15:50">
      <c r="O1404" s="989"/>
      <c r="P1404" s="1008"/>
      <c r="Q1404" s="1008"/>
      <c r="R1404" s="1008"/>
      <c r="S1404" s="1008"/>
      <c r="T1404" s="1008"/>
      <c r="U1404" s="1008"/>
      <c r="V1404" s="1008"/>
      <c r="W1404" s="1008"/>
      <c r="X1404" s="1008"/>
      <c r="Y1404" s="1008"/>
      <c r="Z1404" s="1008"/>
      <c r="AA1404" s="1008"/>
      <c r="AB1404" s="1008"/>
      <c r="AC1404" s="1008"/>
      <c r="AD1404" s="1008"/>
      <c r="AE1404" s="1008"/>
      <c r="AF1404" s="1008"/>
      <c r="AG1404" s="1008"/>
      <c r="AH1404" s="1008"/>
      <c r="AI1404" s="1008"/>
      <c r="AJ1404" s="1008"/>
      <c r="AK1404" s="1008"/>
      <c r="AL1404" s="1008"/>
      <c r="AM1404" s="1008"/>
      <c r="AN1404" s="1008"/>
      <c r="AO1404" s="1008"/>
      <c r="AP1404" s="1008"/>
      <c r="AQ1404" s="1008"/>
      <c r="AR1404" s="1008"/>
      <c r="AS1404" s="1008"/>
      <c r="AT1404" s="1008"/>
      <c r="AU1404" s="1008"/>
      <c r="AV1404" s="1008"/>
      <c r="AW1404" s="1008"/>
      <c r="AX1404" s="1008"/>
    </row>
    <row r="1405" spans="15:50">
      <c r="O1405" s="989"/>
      <c r="P1405" s="1008"/>
      <c r="Q1405" s="1008"/>
      <c r="R1405" s="1008"/>
      <c r="S1405" s="1008"/>
      <c r="T1405" s="1008"/>
      <c r="U1405" s="1008"/>
      <c r="V1405" s="1008"/>
      <c r="W1405" s="1008"/>
      <c r="X1405" s="1008"/>
      <c r="Y1405" s="1008"/>
      <c r="Z1405" s="1008"/>
      <c r="AA1405" s="1008"/>
      <c r="AB1405" s="1008"/>
      <c r="AC1405" s="1008"/>
      <c r="AD1405" s="1008"/>
      <c r="AE1405" s="1008"/>
      <c r="AF1405" s="1008"/>
      <c r="AG1405" s="1008"/>
      <c r="AH1405" s="1008"/>
      <c r="AI1405" s="1008"/>
      <c r="AJ1405" s="1008"/>
      <c r="AK1405" s="1008"/>
      <c r="AL1405" s="1008"/>
      <c r="AM1405" s="1008"/>
      <c r="AN1405" s="1008"/>
      <c r="AO1405" s="1008"/>
      <c r="AP1405" s="1008"/>
      <c r="AQ1405" s="1008"/>
      <c r="AR1405" s="1008"/>
      <c r="AS1405" s="1008"/>
      <c r="AT1405" s="1008"/>
      <c r="AU1405" s="1008"/>
      <c r="AV1405" s="1008"/>
      <c r="AW1405" s="1008"/>
      <c r="AX1405" s="1008"/>
    </row>
    <row r="1406" spans="15:50">
      <c r="O1406" s="989"/>
      <c r="P1406" s="1008"/>
      <c r="Q1406" s="1008"/>
      <c r="R1406" s="1008"/>
      <c r="S1406" s="1008"/>
      <c r="T1406" s="1008"/>
      <c r="U1406" s="1008"/>
      <c r="V1406" s="1008"/>
      <c r="W1406" s="1008"/>
      <c r="X1406" s="1008"/>
      <c r="Y1406" s="1008"/>
      <c r="Z1406" s="1008"/>
      <c r="AA1406" s="1008"/>
      <c r="AB1406" s="1008"/>
      <c r="AC1406" s="1008"/>
      <c r="AD1406" s="1008"/>
      <c r="AE1406" s="1008"/>
      <c r="AF1406" s="1008"/>
      <c r="AG1406" s="1008"/>
      <c r="AH1406" s="1008"/>
      <c r="AI1406" s="1008"/>
      <c r="AJ1406" s="1008"/>
      <c r="AK1406" s="1008"/>
      <c r="AL1406" s="1008"/>
      <c r="AM1406" s="1008"/>
      <c r="AN1406" s="1008"/>
      <c r="AO1406" s="1008"/>
      <c r="AP1406" s="1008"/>
      <c r="AQ1406" s="1008"/>
      <c r="AR1406" s="1008"/>
      <c r="AS1406" s="1008"/>
      <c r="AT1406" s="1008"/>
      <c r="AU1406" s="1008"/>
      <c r="AV1406" s="1008"/>
      <c r="AW1406" s="1008"/>
      <c r="AX1406" s="1008"/>
    </row>
    <row r="1407" spans="15:50">
      <c r="O1407" s="989"/>
      <c r="P1407" s="1008"/>
      <c r="Q1407" s="1008"/>
      <c r="R1407" s="1008"/>
      <c r="S1407" s="1008"/>
      <c r="T1407" s="1008"/>
      <c r="U1407" s="1008"/>
      <c r="V1407" s="1008"/>
      <c r="W1407" s="1008"/>
      <c r="X1407" s="1008"/>
      <c r="Y1407" s="1008"/>
      <c r="Z1407" s="1008"/>
      <c r="AA1407" s="1008"/>
      <c r="AB1407" s="1008"/>
      <c r="AC1407" s="1008"/>
      <c r="AD1407" s="1008"/>
      <c r="AE1407" s="1008"/>
      <c r="AF1407" s="1008"/>
      <c r="AG1407" s="1008"/>
      <c r="AH1407" s="1008"/>
      <c r="AI1407" s="1008"/>
      <c r="AJ1407" s="1008"/>
      <c r="AK1407" s="1008"/>
      <c r="AL1407" s="1008"/>
      <c r="AM1407" s="1008"/>
      <c r="AN1407" s="1008"/>
      <c r="AO1407" s="1008"/>
      <c r="AP1407" s="1008"/>
      <c r="AQ1407" s="1008"/>
      <c r="AR1407" s="1008"/>
      <c r="AS1407" s="1008"/>
      <c r="AT1407" s="1008"/>
      <c r="AU1407" s="1008"/>
      <c r="AV1407" s="1008"/>
      <c r="AW1407" s="1008"/>
      <c r="AX1407" s="1008"/>
    </row>
    <row r="1408" spans="15:50">
      <c r="O1408" s="989"/>
      <c r="P1408" s="1008"/>
      <c r="Q1408" s="1008"/>
      <c r="R1408" s="1008"/>
      <c r="S1408" s="1008"/>
      <c r="T1408" s="1008"/>
      <c r="U1408" s="1008"/>
      <c r="V1408" s="1008"/>
      <c r="W1408" s="1008"/>
      <c r="X1408" s="1008"/>
      <c r="Y1408" s="1008"/>
      <c r="Z1408" s="1008"/>
      <c r="AA1408" s="1008"/>
      <c r="AB1408" s="1008"/>
      <c r="AC1408" s="1008"/>
      <c r="AD1408" s="1008"/>
      <c r="AE1408" s="1008"/>
      <c r="AF1408" s="1008"/>
      <c r="AG1408" s="1008"/>
      <c r="AH1408" s="1008"/>
      <c r="AI1408" s="1008"/>
      <c r="AJ1408" s="1008"/>
      <c r="AK1408" s="1008"/>
      <c r="AL1408" s="1008"/>
      <c r="AM1408" s="1008"/>
      <c r="AN1408" s="1008"/>
      <c r="AO1408" s="1008"/>
      <c r="AP1408" s="1008"/>
      <c r="AQ1408" s="1008"/>
      <c r="AR1408" s="1008"/>
      <c r="AS1408" s="1008"/>
      <c r="AT1408" s="1008"/>
      <c r="AU1408" s="1008"/>
      <c r="AV1408" s="1008"/>
      <c r="AW1408" s="1008"/>
      <c r="AX1408" s="1008"/>
    </row>
    <row r="1409" spans="15:50">
      <c r="O1409" s="989"/>
      <c r="P1409" s="1008"/>
      <c r="Q1409" s="1008"/>
      <c r="R1409" s="1008"/>
      <c r="S1409" s="1008"/>
      <c r="T1409" s="1008"/>
      <c r="U1409" s="1008"/>
      <c r="V1409" s="1008"/>
      <c r="W1409" s="1008"/>
      <c r="X1409" s="1008"/>
      <c r="Y1409" s="1008"/>
      <c r="Z1409" s="1008"/>
      <c r="AA1409" s="1008"/>
      <c r="AB1409" s="1008"/>
      <c r="AC1409" s="1008"/>
      <c r="AD1409" s="1008"/>
      <c r="AE1409" s="1008"/>
      <c r="AF1409" s="1008"/>
      <c r="AG1409" s="1008"/>
      <c r="AH1409" s="1008"/>
      <c r="AI1409" s="1008"/>
      <c r="AJ1409" s="1008"/>
      <c r="AK1409" s="1008"/>
      <c r="AL1409" s="1008"/>
      <c r="AM1409" s="1008"/>
      <c r="AN1409" s="1008"/>
      <c r="AO1409" s="1008"/>
      <c r="AP1409" s="1008"/>
      <c r="AQ1409" s="1008"/>
      <c r="AR1409" s="1008"/>
      <c r="AS1409" s="1008"/>
      <c r="AT1409" s="1008"/>
      <c r="AU1409" s="1008"/>
      <c r="AV1409" s="1008"/>
      <c r="AW1409" s="1008"/>
      <c r="AX1409" s="1008"/>
    </row>
    <row r="1410" spans="15:50">
      <c r="O1410" s="989"/>
      <c r="P1410" s="1008"/>
      <c r="Q1410" s="1008"/>
      <c r="R1410" s="1008"/>
      <c r="S1410" s="1008"/>
      <c r="T1410" s="1008"/>
      <c r="U1410" s="1008"/>
      <c r="V1410" s="1008"/>
      <c r="W1410" s="1008"/>
      <c r="X1410" s="1008"/>
      <c r="Y1410" s="1008"/>
      <c r="Z1410" s="1008"/>
      <c r="AA1410" s="1008"/>
      <c r="AB1410" s="1008"/>
      <c r="AC1410" s="1008"/>
      <c r="AD1410" s="1008"/>
      <c r="AE1410" s="1008"/>
      <c r="AF1410" s="1008"/>
      <c r="AG1410" s="1008"/>
      <c r="AH1410" s="1008"/>
      <c r="AI1410" s="1008"/>
      <c r="AJ1410" s="1008"/>
      <c r="AK1410" s="1008"/>
      <c r="AL1410" s="1008"/>
      <c r="AM1410" s="1008"/>
      <c r="AN1410" s="1008"/>
      <c r="AO1410" s="1008"/>
      <c r="AP1410" s="1008"/>
      <c r="AQ1410" s="1008"/>
      <c r="AR1410" s="1008"/>
      <c r="AS1410" s="1008"/>
      <c r="AT1410" s="1008"/>
      <c r="AU1410" s="1008"/>
      <c r="AV1410" s="1008"/>
      <c r="AW1410" s="1008"/>
      <c r="AX1410" s="1008"/>
    </row>
    <row r="1411" spans="15:50">
      <c r="O1411" s="989"/>
      <c r="P1411" s="1008"/>
      <c r="Q1411" s="1008"/>
      <c r="R1411" s="1008"/>
      <c r="S1411" s="1008"/>
      <c r="T1411" s="1008"/>
      <c r="U1411" s="1008"/>
      <c r="V1411" s="1008"/>
      <c r="W1411" s="1008"/>
      <c r="X1411" s="1008"/>
      <c r="Y1411" s="1008"/>
      <c r="Z1411" s="1008"/>
      <c r="AA1411" s="1008"/>
      <c r="AB1411" s="1008"/>
      <c r="AC1411" s="1008"/>
      <c r="AD1411" s="1008"/>
      <c r="AE1411" s="1008"/>
      <c r="AF1411" s="1008"/>
      <c r="AG1411" s="1008"/>
      <c r="AH1411" s="1008"/>
      <c r="AI1411" s="1008"/>
      <c r="AJ1411" s="1008"/>
      <c r="AK1411" s="1008"/>
      <c r="AL1411" s="1008"/>
      <c r="AM1411" s="1008"/>
      <c r="AN1411" s="1008"/>
      <c r="AO1411" s="1008"/>
      <c r="AP1411" s="1008"/>
      <c r="AQ1411" s="1008"/>
      <c r="AR1411" s="1008"/>
      <c r="AS1411" s="1008"/>
      <c r="AT1411" s="1008"/>
      <c r="AU1411" s="1008"/>
      <c r="AV1411" s="1008"/>
      <c r="AW1411" s="1008"/>
      <c r="AX1411" s="1008"/>
    </row>
    <row r="1412" spans="15:50">
      <c r="O1412" s="989"/>
      <c r="P1412" s="1008"/>
      <c r="Q1412" s="1008"/>
      <c r="R1412" s="1008"/>
      <c r="S1412" s="1008"/>
      <c r="T1412" s="1008"/>
      <c r="U1412" s="1008"/>
      <c r="V1412" s="1008"/>
      <c r="W1412" s="1008"/>
      <c r="X1412" s="1008"/>
      <c r="Y1412" s="1008"/>
      <c r="Z1412" s="1008"/>
      <c r="AA1412" s="1008"/>
      <c r="AB1412" s="1008"/>
      <c r="AC1412" s="1008"/>
      <c r="AD1412" s="1008"/>
      <c r="AE1412" s="1008"/>
      <c r="AF1412" s="1008"/>
      <c r="AG1412" s="1008"/>
      <c r="AH1412" s="1008"/>
      <c r="AI1412" s="1008"/>
      <c r="AJ1412" s="1008"/>
      <c r="AK1412" s="1008"/>
      <c r="AL1412" s="1008"/>
      <c r="AM1412" s="1008"/>
      <c r="AN1412" s="1008"/>
      <c r="AO1412" s="1008"/>
      <c r="AP1412" s="1008"/>
      <c r="AQ1412" s="1008"/>
      <c r="AR1412" s="1008"/>
      <c r="AS1412" s="1008"/>
      <c r="AT1412" s="1008"/>
      <c r="AU1412" s="1008"/>
      <c r="AV1412" s="1008"/>
      <c r="AW1412" s="1008"/>
      <c r="AX1412" s="1008"/>
    </row>
    <row r="1413" spans="15:50">
      <c r="O1413" s="989"/>
      <c r="P1413" s="1008"/>
      <c r="Q1413" s="1008"/>
      <c r="R1413" s="1008"/>
      <c r="S1413" s="1008"/>
      <c r="T1413" s="1008"/>
      <c r="U1413" s="1008"/>
      <c r="V1413" s="1008"/>
      <c r="W1413" s="1008"/>
      <c r="X1413" s="1008"/>
      <c r="Y1413" s="1008"/>
      <c r="Z1413" s="1008"/>
      <c r="AA1413" s="1008"/>
      <c r="AB1413" s="1008"/>
      <c r="AC1413" s="1008"/>
      <c r="AD1413" s="1008"/>
      <c r="AE1413" s="1008"/>
      <c r="AF1413" s="1008"/>
      <c r="AG1413" s="1008"/>
      <c r="AH1413" s="1008"/>
      <c r="AI1413" s="1008"/>
      <c r="AJ1413" s="1008"/>
      <c r="AK1413" s="1008"/>
      <c r="AL1413" s="1008"/>
      <c r="AM1413" s="1008"/>
      <c r="AN1413" s="1008"/>
      <c r="AO1413" s="1008"/>
      <c r="AP1413" s="1008"/>
      <c r="AQ1413" s="1008"/>
      <c r="AR1413" s="1008"/>
      <c r="AS1413" s="1008"/>
      <c r="AT1413" s="1008"/>
      <c r="AU1413" s="1008"/>
      <c r="AV1413" s="1008"/>
      <c r="AW1413" s="1008"/>
      <c r="AX1413" s="1008"/>
    </row>
    <row r="1414" spans="15:50">
      <c r="O1414" s="989"/>
      <c r="P1414" s="1008"/>
      <c r="Q1414" s="1008"/>
      <c r="R1414" s="1008"/>
      <c r="S1414" s="1008"/>
      <c r="T1414" s="1008"/>
      <c r="U1414" s="1008"/>
      <c r="V1414" s="1008"/>
      <c r="W1414" s="1008"/>
      <c r="X1414" s="1008"/>
      <c r="Y1414" s="1008"/>
      <c r="Z1414" s="1008"/>
      <c r="AA1414" s="1008"/>
      <c r="AB1414" s="1008"/>
      <c r="AC1414" s="1008"/>
      <c r="AD1414" s="1008"/>
      <c r="AE1414" s="1008"/>
      <c r="AF1414" s="1008"/>
      <c r="AG1414" s="1008"/>
      <c r="AH1414" s="1008"/>
      <c r="AI1414" s="1008"/>
      <c r="AJ1414" s="1008"/>
      <c r="AK1414" s="1008"/>
      <c r="AL1414" s="1008"/>
      <c r="AM1414" s="1008"/>
      <c r="AN1414" s="1008"/>
      <c r="AO1414" s="1008"/>
      <c r="AP1414" s="1008"/>
      <c r="AQ1414" s="1008"/>
      <c r="AR1414" s="1008"/>
      <c r="AS1414" s="1008"/>
      <c r="AT1414" s="1008"/>
      <c r="AU1414" s="1008"/>
      <c r="AV1414" s="1008"/>
      <c r="AW1414" s="1008"/>
      <c r="AX1414" s="1008"/>
    </row>
    <row r="1415" spans="15:50">
      <c r="O1415" s="989"/>
      <c r="P1415" s="1008"/>
      <c r="Q1415" s="1008"/>
      <c r="R1415" s="1008"/>
      <c r="S1415" s="1008"/>
      <c r="T1415" s="1008"/>
      <c r="U1415" s="1008"/>
      <c r="V1415" s="1008"/>
      <c r="W1415" s="1008"/>
      <c r="X1415" s="1008"/>
      <c r="Y1415" s="1008"/>
      <c r="Z1415" s="1008"/>
      <c r="AA1415" s="1008"/>
      <c r="AB1415" s="1008"/>
      <c r="AC1415" s="1008"/>
      <c r="AD1415" s="1008"/>
      <c r="AE1415" s="1008"/>
      <c r="AF1415" s="1008"/>
      <c r="AG1415" s="1008"/>
      <c r="AH1415" s="1008"/>
      <c r="AI1415" s="1008"/>
      <c r="AJ1415" s="1008"/>
      <c r="AK1415" s="1008"/>
      <c r="AL1415" s="1008"/>
      <c r="AM1415" s="1008"/>
      <c r="AN1415" s="1008"/>
      <c r="AO1415" s="1008"/>
      <c r="AP1415" s="1008"/>
      <c r="AQ1415" s="1008"/>
      <c r="AR1415" s="1008"/>
      <c r="AS1415" s="1008"/>
      <c r="AT1415" s="1008"/>
      <c r="AU1415" s="1008"/>
      <c r="AV1415" s="1008"/>
      <c r="AW1415" s="1008"/>
      <c r="AX1415" s="1008"/>
    </row>
    <row r="1416" spans="15:50">
      <c r="O1416" s="989"/>
      <c r="P1416" s="1008"/>
      <c r="Q1416" s="1008"/>
      <c r="R1416" s="1008"/>
      <c r="S1416" s="1008"/>
      <c r="T1416" s="1008"/>
      <c r="U1416" s="1008"/>
      <c r="V1416" s="1008"/>
      <c r="W1416" s="1008"/>
      <c r="X1416" s="1008"/>
      <c r="Y1416" s="1008"/>
      <c r="Z1416" s="1008"/>
      <c r="AA1416" s="1008"/>
      <c r="AB1416" s="1008"/>
      <c r="AC1416" s="1008"/>
      <c r="AD1416" s="1008"/>
      <c r="AE1416" s="1008"/>
      <c r="AF1416" s="1008"/>
      <c r="AG1416" s="1008"/>
      <c r="AH1416" s="1008"/>
      <c r="AI1416" s="1008"/>
      <c r="AJ1416" s="1008"/>
      <c r="AK1416" s="1008"/>
      <c r="AL1416" s="1008"/>
      <c r="AM1416" s="1008"/>
      <c r="AN1416" s="1008"/>
      <c r="AO1416" s="1008"/>
      <c r="AP1416" s="1008"/>
      <c r="AQ1416" s="1008"/>
      <c r="AR1416" s="1008"/>
      <c r="AS1416" s="1008"/>
      <c r="AT1416" s="1008"/>
      <c r="AU1416" s="1008"/>
      <c r="AV1416" s="1008"/>
      <c r="AW1416" s="1008"/>
      <c r="AX1416" s="1008"/>
    </row>
    <row r="1417" spans="15:50">
      <c r="O1417" s="989"/>
      <c r="P1417" s="1008"/>
      <c r="Q1417" s="1008"/>
      <c r="R1417" s="1008"/>
      <c r="S1417" s="1008"/>
      <c r="T1417" s="1008"/>
      <c r="U1417" s="1008"/>
      <c r="V1417" s="1008"/>
      <c r="W1417" s="1008"/>
      <c r="X1417" s="1008"/>
      <c r="Y1417" s="1008"/>
      <c r="Z1417" s="1008"/>
      <c r="AA1417" s="1008"/>
      <c r="AB1417" s="1008"/>
      <c r="AC1417" s="1008"/>
      <c r="AD1417" s="1008"/>
      <c r="AE1417" s="1008"/>
      <c r="AF1417" s="1008"/>
      <c r="AG1417" s="1008"/>
      <c r="AH1417" s="1008"/>
      <c r="AI1417" s="1008"/>
      <c r="AJ1417" s="1008"/>
      <c r="AK1417" s="1008"/>
      <c r="AL1417" s="1008"/>
      <c r="AM1417" s="1008"/>
      <c r="AN1417" s="1008"/>
      <c r="AO1417" s="1008"/>
      <c r="AP1417" s="1008"/>
      <c r="AQ1417" s="1008"/>
      <c r="AR1417" s="1008"/>
      <c r="AS1417" s="1008"/>
      <c r="AT1417" s="1008"/>
      <c r="AU1417" s="1008"/>
      <c r="AV1417" s="1008"/>
      <c r="AW1417" s="1008"/>
      <c r="AX1417" s="1008"/>
    </row>
    <row r="1418" spans="15:50">
      <c r="O1418" s="989"/>
      <c r="P1418" s="1008"/>
      <c r="Q1418" s="1008"/>
      <c r="R1418" s="1008"/>
      <c r="S1418" s="1008"/>
      <c r="T1418" s="1008"/>
      <c r="U1418" s="1008"/>
      <c r="V1418" s="1008"/>
      <c r="W1418" s="1008"/>
      <c r="X1418" s="1008"/>
      <c r="Y1418" s="1008"/>
      <c r="Z1418" s="1008"/>
      <c r="AA1418" s="1008"/>
      <c r="AB1418" s="1008"/>
      <c r="AC1418" s="1008"/>
      <c r="AD1418" s="1008"/>
      <c r="AE1418" s="1008"/>
      <c r="AF1418" s="1008"/>
      <c r="AG1418" s="1008"/>
      <c r="AH1418" s="1008"/>
      <c r="AI1418" s="1008"/>
      <c r="AJ1418" s="1008"/>
      <c r="AK1418" s="1008"/>
      <c r="AL1418" s="1008"/>
      <c r="AM1418" s="1008"/>
      <c r="AN1418" s="1008"/>
      <c r="AO1418" s="1008"/>
      <c r="AP1418" s="1008"/>
      <c r="AQ1418" s="1008"/>
      <c r="AR1418" s="1008"/>
      <c r="AS1418" s="1008"/>
      <c r="AT1418" s="1008"/>
      <c r="AU1418" s="1008"/>
      <c r="AV1418" s="1008"/>
      <c r="AW1418" s="1008"/>
      <c r="AX1418" s="1008"/>
    </row>
    <row r="1419" spans="15:50">
      <c r="O1419" s="989"/>
      <c r="P1419" s="1008"/>
      <c r="Q1419" s="1008"/>
      <c r="R1419" s="1008"/>
      <c r="S1419" s="1008"/>
      <c r="T1419" s="1008"/>
      <c r="U1419" s="1008"/>
      <c r="V1419" s="1008"/>
      <c r="W1419" s="1008"/>
      <c r="X1419" s="1008"/>
      <c r="Y1419" s="1008"/>
      <c r="Z1419" s="1008"/>
      <c r="AA1419" s="1008"/>
      <c r="AB1419" s="1008"/>
      <c r="AC1419" s="1008"/>
      <c r="AD1419" s="1008"/>
      <c r="AE1419" s="1008"/>
      <c r="AF1419" s="1008"/>
      <c r="AG1419" s="1008"/>
      <c r="AH1419" s="1008"/>
      <c r="AI1419" s="1008"/>
      <c r="AJ1419" s="1008"/>
      <c r="AK1419" s="1008"/>
      <c r="AL1419" s="1008"/>
      <c r="AM1419" s="1008"/>
      <c r="AN1419" s="1008"/>
      <c r="AO1419" s="1008"/>
      <c r="AP1419" s="1008"/>
      <c r="AQ1419" s="1008"/>
      <c r="AR1419" s="1008"/>
      <c r="AS1419" s="1008"/>
      <c r="AT1419" s="1008"/>
      <c r="AU1419" s="1008"/>
      <c r="AV1419" s="1008"/>
      <c r="AW1419" s="1008"/>
      <c r="AX1419" s="1008"/>
    </row>
    <row r="1420" spans="15:50">
      <c r="O1420" s="989"/>
      <c r="P1420" s="1008"/>
      <c r="Q1420" s="1008"/>
      <c r="R1420" s="1008"/>
      <c r="S1420" s="1008"/>
      <c r="T1420" s="1008"/>
      <c r="U1420" s="1008"/>
      <c r="V1420" s="1008"/>
      <c r="W1420" s="1008"/>
      <c r="X1420" s="1008"/>
      <c r="Y1420" s="1008"/>
      <c r="Z1420" s="1008"/>
      <c r="AA1420" s="1008"/>
      <c r="AB1420" s="1008"/>
      <c r="AC1420" s="1008"/>
      <c r="AD1420" s="1008"/>
      <c r="AE1420" s="1008"/>
      <c r="AF1420" s="1008"/>
      <c r="AG1420" s="1008"/>
      <c r="AH1420" s="1008"/>
      <c r="AI1420" s="1008"/>
      <c r="AJ1420" s="1008"/>
      <c r="AK1420" s="1008"/>
      <c r="AL1420" s="1008"/>
      <c r="AM1420" s="1008"/>
      <c r="AN1420" s="1008"/>
      <c r="AO1420" s="1008"/>
      <c r="AP1420" s="1008"/>
      <c r="AQ1420" s="1008"/>
      <c r="AR1420" s="1008"/>
      <c r="AS1420" s="1008"/>
      <c r="AT1420" s="1008"/>
      <c r="AU1420" s="1008"/>
      <c r="AV1420" s="1008"/>
      <c r="AW1420" s="1008"/>
      <c r="AX1420" s="1008"/>
    </row>
    <row r="1421" spans="15:50">
      <c r="O1421" s="989"/>
      <c r="P1421" s="1008"/>
      <c r="Q1421" s="1008"/>
      <c r="R1421" s="1008"/>
      <c r="S1421" s="1008"/>
      <c r="T1421" s="1008"/>
      <c r="U1421" s="1008"/>
      <c r="V1421" s="1008"/>
      <c r="W1421" s="1008"/>
      <c r="X1421" s="1008"/>
      <c r="Y1421" s="1008"/>
      <c r="Z1421" s="1008"/>
      <c r="AA1421" s="1008"/>
      <c r="AB1421" s="1008"/>
      <c r="AC1421" s="1008"/>
      <c r="AD1421" s="1008"/>
      <c r="AE1421" s="1008"/>
      <c r="AF1421" s="1008"/>
      <c r="AG1421" s="1008"/>
      <c r="AH1421" s="1008"/>
      <c r="AI1421" s="1008"/>
      <c r="AJ1421" s="1008"/>
      <c r="AK1421" s="1008"/>
      <c r="AL1421" s="1008"/>
      <c r="AM1421" s="1008"/>
      <c r="AN1421" s="1008"/>
      <c r="AO1421" s="1008"/>
      <c r="AP1421" s="1008"/>
      <c r="AQ1421" s="1008"/>
      <c r="AR1421" s="1008"/>
      <c r="AS1421" s="1008"/>
      <c r="AT1421" s="1008"/>
      <c r="AU1421" s="1008"/>
      <c r="AV1421" s="1008"/>
      <c r="AW1421" s="1008"/>
      <c r="AX1421" s="1008"/>
    </row>
    <row r="1422" spans="15:50">
      <c r="O1422" s="989"/>
      <c r="P1422" s="1008"/>
      <c r="Q1422" s="1008"/>
      <c r="R1422" s="1008"/>
      <c r="S1422" s="1008"/>
      <c r="T1422" s="1008"/>
      <c r="U1422" s="1008"/>
      <c r="V1422" s="1008"/>
      <c r="W1422" s="1008"/>
      <c r="X1422" s="1008"/>
      <c r="Y1422" s="1008"/>
      <c r="Z1422" s="1008"/>
      <c r="AA1422" s="1008"/>
      <c r="AB1422" s="1008"/>
      <c r="AC1422" s="1008"/>
      <c r="AD1422" s="1008"/>
      <c r="AE1422" s="1008"/>
      <c r="AF1422" s="1008"/>
      <c r="AG1422" s="1008"/>
      <c r="AH1422" s="1008"/>
      <c r="AI1422" s="1008"/>
      <c r="AJ1422" s="1008"/>
      <c r="AK1422" s="1008"/>
      <c r="AL1422" s="1008"/>
      <c r="AM1422" s="1008"/>
      <c r="AN1422" s="1008"/>
      <c r="AO1422" s="1008"/>
      <c r="AP1422" s="1008"/>
      <c r="AQ1422" s="1008"/>
      <c r="AR1422" s="1008"/>
      <c r="AS1422" s="1008"/>
      <c r="AT1422" s="1008"/>
      <c r="AU1422" s="1008"/>
      <c r="AV1422" s="1008"/>
      <c r="AW1422" s="1008"/>
      <c r="AX1422" s="1008"/>
    </row>
    <row r="1423" spans="15:50">
      <c r="O1423" s="989"/>
      <c r="P1423" s="1008"/>
      <c r="Q1423" s="1008"/>
      <c r="R1423" s="1008"/>
      <c r="S1423" s="1008"/>
      <c r="T1423" s="1008"/>
      <c r="U1423" s="1008"/>
      <c r="V1423" s="1008"/>
      <c r="W1423" s="1008"/>
      <c r="X1423" s="1008"/>
      <c r="Y1423" s="1008"/>
      <c r="Z1423" s="1008"/>
      <c r="AA1423" s="1008"/>
      <c r="AB1423" s="1008"/>
      <c r="AC1423" s="1008"/>
      <c r="AD1423" s="1008"/>
      <c r="AE1423" s="1008"/>
      <c r="AF1423" s="1008"/>
      <c r="AG1423" s="1008"/>
      <c r="AH1423" s="1008"/>
      <c r="AI1423" s="1008"/>
      <c r="AJ1423" s="1008"/>
      <c r="AK1423" s="1008"/>
      <c r="AL1423" s="1008"/>
      <c r="AM1423" s="1008"/>
      <c r="AN1423" s="1008"/>
      <c r="AO1423" s="1008"/>
      <c r="AP1423" s="1008"/>
      <c r="AQ1423" s="1008"/>
      <c r="AR1423" s="1008"/>
      <c r="AS1423" s="1008"/>
      <c r="AT1423" s="1008"/>
      <c r="AU1423" s="1008"/>
      <c r="AV1423" s="1008"/>
      <c r="AW1423" s="1008"/>
      <c r="AX1423" s="1008"/>
    </row>
    <row r="1424" spans="15:50">
      <c r="O1424" s="989"/>
      <c r="P1424" s="1008"/>
      <c r="Q1424" s="1008"/>
      <c r="R1424" s="1008"/>
      <c r="S1424" s="1008"/>
      <c r="T1424" s="1008"/>
      <c r="U1424" s="1008"/>
      <c r="V1424" s="1008"/>
      <c r="W1424" s="1008"/>
      <c r="X1424" s="1008"/>
      <c r="Y1424" s="1008"/>
      <c r="Z1424" s="1008"/>
      <c r="AA1424" s="1008"/>
      <c r="AB1424" s="1008"/>
      <c r="AC1424" s="1008"/>
      <c r="AD1424" s="1008"/>
      <c r="AE1424" s="1008"/>
      <c r="AF1424" s="1008"/>
      <c r="AG1424" s="1008"/>
      <c r="AH1424" s="1008"/>
      <c r="AI1424" s="1008"/>
      <c r="AJ1424" s="1008"/>
      <c r="AK1424" s="1008"/>
      <c r="AL1424" s="1008"/>
      <c r="AM1424" s="1008"/>
      <c r="AN1424" s="1008"/>
      <c r="AO1424" s="1008"/>
      <c r="AP1424" s="1008"/>
      <c r="AQ1424" s="1008"/>
      <c r="AR1424" s="1008"/>
      <c r="AS1424" s="1008"/>
      <c r="AT1424" s="1008"/>
      <c r="AU1424" s="1008"/>
      <c r="AV1424" s="1008"/>
      <c r="AW1424" s="1008"/>
      <c r="AX1424" s="1008"/>
    </row>
    <row r="1425" spans="15:50">
      <c r="O1425" s="989"/>
      <c r="P1425" s="1008"/>
      <c r="Q1425" s="1008"/>
      <c r="R1425" s="1008"/>
      <c r="S1425" s="1008"/>
      <c r="T1425" s="1008"/>
      <c r="U1425" s="1008"/>
      <c r="V1425" s="1008"/>
      <c r="W1425" s="1008"/>
      <c r="X1425" s="1008"/>
      <c r="Y1425" s="1008"/>
      <c r="Z1425" s="1008"/>
      <c r="AA1425" s="1008"/>
      <c r="AB1425" s="1008"/>
      <c r="AC1425" s="1008"/>
      <c r="AD1425" s="1008"/>
      <c r="AE1425" s="1008"/>
      <c r="AF1425" s="1008"/>
      <c r="AG1425" s="1008"/>
      <c r="AH1425" s="1008"/>
      <c r="AI1425" s="1008"/>
      <c r="AJ1425" s="1008"/>
      <c r="AK1425" s="1008"/>
      <c r="AL1425" s="1008"/>
      <c r="AM1425" s="1008"/>
      <c r="AN1425" s="1008"/>
      <c r="AO1425" s="1008"/>
      <c r="AP1425" s="1008"/>
      <c r="AQ1425" s="1008"/>
      <c r="AR1425" s="1008"/>
      <c r="AS1425" s="1008"/>
      <c r="AT1425" s="1008"/>
      <c r="AU1425" s="1008"/>
      <c r="AV1425" s="1008"/>
      <c r="AW1425" s="1008"/>
      <c r="AX1425" s="1008"/>
    </row>
    <row r="1426" spans="15:50">
      <c r="O1426" s="989"/>
      <c r="P1426" s="1008"/>
      <c r="Q1426" s="1008"/>
      <c r="R1426" s="1008"/>
      <c r="S1426" s="1008"/>
      <c r="T1426" s="1008"/>
      <c r="U1426" s="1008"/>
      <c r="V1426" s="1008"/>
      <c r="W1426" s="1008"/>
      <c r="X1426" s="1008"/>
      <c r="Y1426" s="1008"/>
      <c r="Z1426" s="1008"/>
      <c r="AA1426" s="1008"/>
      <c r="AB1426" s="1008"/>
      <c r="AC1426" s="1008"/>
      <c r="AD1426" s="1008"/>
      <c r="AE1426" s="1008"/>
      <c r="AF1426" s="1008"/>
      <c r="AG1426" s="1008"/>
      <c r="AH1426" s="1008"/>
      <c r="AI1426" s="1008"/>
      <c r="AJ1426" s="1008"/>
      <c r="AK1426" s="1008"/>
      <c r="AL1426" s="1008"/>
      <c r="AM1426" s="1008"/>
      <c r="AN1426" s="1008"/>
      <c r="AO1426" s="1008"/>
      <c r="AP1426" s="1008"/>
      <c r="AQ1426" s="1008"/>
      <c r="AR1426" s="1008"/>
      <c r="AS1426" s="1008"/>
      <c r="AT1426" s="1008"/>
      <c r="AU1426" s="1008"/>
      <c r="AV1426" s="1008"/>
      <c r="AW1426" s="1008"/>
      <c r="AX1426" s="1008"/>
    </row>
    <row r="1427" spans="15:50">
      <c r="O1427" s="989"/>
      <c r="P1427" s="1008"/>
      <c r="Q1427" s="1008"/>
      <c r="R1427" s="1008"/>
      <c r="S1427" s="1008"/>
      <c r="T1427" s="1008"/>
      <c r="U1427" s="1008"/>
      <c r="V1427" s="1008"/>
      <c r="W1427" s="1008"/>
      <c r="X1427" s="1008"/>
      <c r="Y1427" s="1008"/>
      <c r="Z1427" s="1008"/>
      <c r="AA1427" s="1008"/>
      <c r="AB1427" s="1008"/>
      <c r="AC1427" s="1008"/>
      <c r="AD1427" s="1008"/>
      <c r="AE1427" s="1008"/>
      <c r="AF1427" s="1008"/>
      <c r="AG1427" s="1008"/>
      <c r="AH1427" s="1008"/>
      <c r="AI1427" s="1008"/>
      <c r="AJ1427" s="1008"/>
      <c r="AK1427" s="1008"/>
      <c r="AL1427" s="1008"/>
      <c r="AM1427" s="1008"/>
      <c r="AN1427" s="1008"/>
      <c r="AO1427" s="1008"/>
      <c r="AP1427" s="1008"/>
      <c r="AQ1427" s="1008"/>
      <c r="AR1427" s="1008"/>
      <c r="AS1427" s="1008"/>
      <c r="AT1427" s="1008"/>
      <c r="AU1427" s="1008"/>
      <c r="AV1427" s="1008"/>
      <c r="AW1427" s="1008"/>
      <c r="AX1427" s="1008"/>
    </row>
    <row r="1428" spans="15:50">
      <c r="O1428" s="989"/>
      <c r="P1428" s="1008"/>
      <c r="Q1428" s="1008"/>
      <c r="R1428" s="1008"/>
      <c r="S1428" s="1008"/>
      <c r="T1428" s="1008"/>
      <c r="U1428" s="1008"/>
      <c r="V1428" s="1008"/>
      <c r="W1428" s="1008"/>
      <c r="X1428" s="1008"/>
      <c r="Y1428" s="1008"/>
      <c r="Z1428" s="1008"/>
      <c r="AA1428" s="1008"/>
      <c r="AB1428" s="1008"/>
      <c r="AC1428" s="1008"/>
      <c r="AD1428" s="1008"/>
      <c r="AE1428" s="1008"/>
      <c r="AF1428" s="1008"/>
      <c r="AG1428" s="1008"/>
      <c r="AH1428" s="1008"/>
      <c r="AI1428" s="1008"/>
      <c r="AJ1428" s="1008"/>
      <c r="AK1428" s="1008"/>
      <c r="AL1428" s="1008"/>
      <c r="AM1428" s="1008"/>
      <c r="AN1428" s="1008"/>
      <c r="AO1428" s="1008"/>
      <c r="AP1428" s="1008"/>
      <c r="AQ1428" s="1008"/>
      <c r="AR1428" s="1008"/>
      <c r="AS1428" s="1008"/>
      <c r="AT1428" s="1008"/>
      <c r="AU1428" s="1008"/>
      <c r="AV1428" s="1008"/>
      <c r="AW1428" s="1008"/>
      <c r="AX1428" s="1008"/>
    </row>
    <row r="1429" spans="15:50">
      <c r="O1429" s="989"/>
      <c r="P1429" s="1008"/>
      <c r="Q1429" s="1008"/>
      <c r="R1429" s="1008"/>
      <c r="S1429" s="1008"/>
      <c r="T1429" s="1008"/>
      <c r="U1429" s="1008"/>
      <c r="V1429" s="1008"/>
      <c r="W1429" s="1008"/>
      <c r="X1429" s="1008"/>
      <c r="Y1429" s="1008"/>
      <c r="Z1429" s="1008"/>
      <c r="AA1429" s="1008"/>
      <c r="AB1429" s="1008"/>
      <c r="AC1429" s="1008"/>
      <c r="AD1429" s="1008"/>
      <c r="AE1429" s="1008"/>
      <c r="AF1429" s="1008"/>
      <c r="AG1429" s="1008"/>
      <c r="AH1429" s="1008"/>
      <c r="AI1429" s="1008"/>
      <c r="AJ1429" s="1008"/>
      <c r="AK1429" s="1008"/>
      <c r="AL1429" s="1008"/>
      <c r="AM1429" s="1008"/>
      <c r="AN1429" s="1008"/>
      <c r="AO1429" s="1008"/>
      <c r="AP1429" s="1008"/>
      <c r="AQ1429" s="1008"/>
      <c r="AR1429" s="1008"/>
      <c r="AS1429" s="1008"/>
      <c r="AT1429" s="1008"/>
      <c r="AU1429" s="1008"/>
      <c r="AV1429" s="1008"/>
      <c r="AW1429" s="1008"/>
      <c r="AX1429" s="1008"/>
    </row>
    <row r="1430" spans="15:50">
      <c r="O1430" s="989"/>
      <c r="P1430" s="1008"/>
      <c r="Q1430" s="1008"/>
      <c r="R1430" s="1008"/>
      <c r="S1430" s="1008"/>
      <c r="T1430" s="1008"/>
      <c r="U1430" s="1008"/>
      <c r="V1430" s="1008"/>
      <c r="W1430" s="1008"/>
      <c r="X1430" s="1008"/>
      <c r="Y1430" s="1008"/>
      <c r="Z1430" s="1008"/>
      <c r="AA1430" s="1008"/>
      <c r="AB1430" s="1008"/>
      <c r="AC1430" s="1008"/>
      <c r="AD1430" s="1008"/>
      <c r="AE1430" s="1008"/>
      <c r="AF1430" s="1008"/>
      <c r="AG1430" s="1008"/>
      <c r="AH1430" s="1008"/>
      <c r="AI1430" s="1008"/>
      <c r="AJ1430" s="1008"/>
      <c r="AK1430" s="1008"/>
      <c r="AL1430" s="1008"/>
      <c r="AM1430" s="1008"/>
      <c r="AN1430" s="1008"/>
      <c r="AO1430" s="1008"/>
      <c r="AP1430" s="1008"/>
      <c r="AQ1430" s="1008"/>
      <c r="AR1430" s="1008"/>
      <c r="AS1430" s="1008"/>
      <c r="AT1430" s="1008"/>
      <c r="AU1430" s="1008"/>
      <c r="AV1430" s="1008"/>
      <c r="AW1430" s="1008"/>
      <c r="AX1430" s="1008"/>
    </row>
    <row r="1431" spans="15:50">
      <c r="O1431" s="989"/>
      <c r="P1431" s="1008"/>
      <c r="Q1431" s="1008"/>
      <c r="R1431" s="1008"/>
      <c r="S1431" s="1008"/>
      <c r="T1431" s="1008"/>
      <c r="U1431" s="1008"/>
      <c r="V1431" s="1008"/>
      <c r="W1431" s="1008"/>
      <c r="X1431" s="1008"/>
      <c r="Y1431" s="1008"/>
      <c r="Z1431" s="1008"/>
      <c r="AA1431" s="1008"/>
      <c r="AB1431" s="1008"/>
      <c r="AC1431" s="1008"/>
      <c r="AD1431" s="1008"/>
      <c r="AE1431" s="1008"/>
      <c r="AF1431" s="1008"/>
      <c r="AG1431" s="1008"/>
      <c r="AH1431" s="1008"/>
      <c r="AI1431" s="1008"/>
      <c r="AJ1431" s="1008"/>
      <c r="AK1431" s="1008"/>
      <c r="AL1431" s="1008"/>
      <c r="AM1431" s="1008"/>
      <c r="AN1431" s="1008"/>
      <c r="AO1431" s="1008"/>
      <c r="AP1431" s="1008"/>
      <c r="AQ1431" s="1008"/>
      <c r="AR1431" s="1008"/>
      <c r="AS1431" s="1008"/>
      <c r="AT1431" s="1008"/>
      <c r="AU1431" s="1008"/>
      <c r="AV1431" s="1008"/>
      <c r="AW1431" s="1008"/>
      <c r="AX1431" s="1008"/>
    </row>
    <row r="1432" spans="15:50">
      <c r="O1432" s="989"/>
      <c r="P1432" s="1008"/>
      <c r="Q1432" s="1008"/>
      <c r="R1432" s="1008"/>
      <c r="S1432" s="1008"/>
      <c r="T1432" s="1008"/>
      <c r="U1432" s="1008"/>
      <c r="V1432" s="1008"/>
      <c r="W1432" s="1008"/>
      <c r="X1432" s="1008"/>
      <c r="Y1432" s="1008"/>
      <c r="Z1432" s="1008"/>
      <c r="AA1432" s="1008"/>
      <c r="AB1432" s="1008"/>
      <c r="AC1432" s="1008"/>
      <c r="AD1432" s="1008"/>
      <c r="AE1432" s="1008"/>
      <c r="AF1432" s="1008"/>
      <c r="AG1432" s="1008"/>
      <c r="AH1432" s="1008"/>
      <c r="AI1432" s="1008"/>
      <c r="AJ1432" s="1008"/>
      <c r="AK1432" s="1008"/>
      <c r="AL1432" s="1008"/>
      <c r="AM1432" s="1008"/>
      <c r="AN1432" s="1008"/>
      <c r="AO1432" s="1008"/>
      <c r="AP1432" s="1008"/>
      <c r="AQ1432" s="1008"/>
      <c r="AR1432" s="1008"/>
      <c r="AS1432" s="1008"/>
      <c r="AT1432" s="1008"/>
      <c r="AU1432" s="1008"/>
      <c r="AV1432" s="1008"/>
      <c r="AW1432" s="1008"/>
      <c r="AX1432" s="1008"/>
    </row>
    <row r="1433" spans="15:50">
      <c r="O1433" s="989"/>
      <c r="P1433" s="1008"/>
      <c r="Q1433" s="1008"/>
      <c r="R1433" s="1008"/>
      <c r="S1433" s="1008"/>
      <c r="T1433" s="1008"/>
      <c r="U1433" s="1008"/>
      <c r="V1433" s="1008"/>
      <c r="W1433" s="1008"/>
      <c r="X1433" s="1008"/>
      <c r="Y1433" s="1008"/>
      <c r="Z1433" s="1008"/>
      <c r="AA1433" s="1008"/>
      <c r="AB1433" s="1008"/>
      <c r="AC1433" s="1008"/>
      <c r="AD1433" s="1008"/>
      <c r="AE1433" s="1008"/>
      <c r="AF1433" s="1008"/>
      <c r="AG1433" s="1008"/>
      <c r="AH1433" s="1008"/>
      <c r="AI1433" s="1008"/>
      <c r="AJ1433" s="1008"/>
      <c r="AK1433" s="1008"/>
      <c r="AL1433" s="1008"/>
      <c r="AM1433" s="1008"/>
      <c r="AN1433" s="1008"/>
      <c r="AO1433" s="1008"/>
      <c r="AP1433" s="1008"/>
      <c r="AQ1433" s="1008"/>
      <c r="AR1433" s="1008"/>
      <c r="AS1433" s="1008"/>
      <c r="AT1433" s="1008"/>
      <c r="AU1433" s="1008"/>
      <c r="AV1433" s="1008"/>
      <c r="AW1433" s="1008"/>
      <c r="AX1433" s="1008"/>
    </row>
    <row r="1434" spans="15:50">
      <c r="O1434" s="989"/>
      <c r="P1434" s="1008"/>
      <c r="Q1434" s="1008"/>
      <c r="R1434" s="1008"/>
      <c r="S1434" s="1008"/>
      <c r="T1434" s="1008"/>
      <c r="U1434" s="1008"/>
      <c r="V1434" s="1008"/>
      <c r="W1434" s="1008"/>
      <c r="X1434" s="1008"/>
      <c r="Y1434" s="1008"/>
      <c r="Z1434" s="1008"/>
      <c r="AA1434" s="1008"/>
      <c r="AB1434" s="1008"/>
      <c r="AC1434" s="1008"/>
      <c r="AD1434" s="1008"/>
      <c r="AE1434" s="1008"/>
      <c r="AF1434" s="1008"/>
      <c r="AG1434" s="1008"/>
      <c r="AH1434" s="1008"/>
      <c r="AI1434" s="1008"/>
      <c r="AJ1434" s="1008"/>
      <c r="AK1434" s="1008"/>
      <c r="AL1434" s="1008"/>
      <c r="AM1434" s="1008"/>
      <c r="AN1434" s="1008"/>
      <c r="AO1434" s="1008"/>
      <c r="AP1434" s="1008"/>
      <c r="AQ1434" s="1008"/>
      <c r="AR1434" s="1008"/>
      <c r="AS1434" s="1008"/>
      <c r="AT1434" s="1008"/>
      <c r="AU1434" s="1008"/>
      <c r="AV1434" s="1008"/>
      <c r="AW1434" s="1008"/>
      <c r="AX1434" s="1008"/>
    </row>
    <row r="1435" spans="15:50">
      <c r="O1435" s="989"/>
      <c r="P1435" s="1008"/>
      <c r="Q1435" s="1008"/>
      <c r="R1435" s="1008"/>
      <c r="S1435" s="1008"/>
      <c r="T1435" s="1008"/>
      <c r="U1435" s="1008"/>
      <c r="V1435" s="1008"/>
      <c r="W1435" s="1008"/>
      <c r="X1435" s="1008"/>
      <c r="Y1435" s="1008"/>
      <c r="Z1435" s="1008"/>
      <c r="AA1435" s="1008"/>
      <c r="AB1435" s="1008"/>
      <c r="AC1435" s="1008"/>
      <c r="AD1435" s="1008"/>
      <c r="AE1435" s="1008"/>
      <c r="AF1435" s="1008"/>
      <c r="AG1435" s="1008"/>
      <c r="AH1435" s="1008"/>
      <c r="AI1435" s="1008"/>
      <c r="AJ1435" s="1008"/>
      <c r="AK1435" s="1008"/>
      <c r="AL1435" s="1008"/>
      <c r="AM1435" s="1008"/>
      <c r="AN1435" s="1008"/>
      <c r="AO1435" s="1008"/>
      <c r="AP1435" s="1008"/>
      <c r="AQ1435" s="1008"/>
      <c r="AR1435" s="1008"/>
      <c r="AS1435" s="1008"/>
      <c r="AT1435" s="1008"/>
      <c r="AU1435" s="1008"/>
      <c r="AV1435" s="1008"/>
      <c r="AW1435" s="1008"/>
      <c r="AX1435" s="1008"/>
    </row>
    <row r="1436" spans="15:50">
      <c r="O1436" s="989"/>
      <c r="P1436" s="1008"/>
      <c r="Q1436" s="1008"/>
      <c r="R1436" s="1008"/>
      <c r="S1436" s="1008"/>
      <c r="T1436" s="1008"/>
      <c r="U1436" s="1008"/>
      <c r="V1436" s="1008"/>
      <c r="W1436" s="1008"/>
      <c r="X1436" s="1008"/>
      <c r="Y1436" s="1008"/>
      <c r="Z1436" s="1008"/>
      <c r="AA1436" s="1008"/>
      <c r="AB1436" s="1008"/>
      <c r="AC1436" s="1008"/>
      <c r="AD1436" s="1008"/>
      <c r="AE1436" s="1008"/>
      <c r="AF1436" s="1008"/>
      <c r="AG1436" s="1008"/>
      <c r="AH1436" s="1008"/>
      <c r="AI1436" s="1008"/>
      <c r="AJ1436" s="1008"/>
      <c r="AK1436" s="1008"/>
      <c r="AL1436" s="1008"/>
      <c r="AM1436" s="1008"/>
      <c r="AN1436" s="1008"/>
      <c r="AO1436" s="1008"/>
      <c r="AP1436" s="1008"/>
      <c r="AQ1436" s="1008"/>
      <c r="AR1436" s="1008"/>
      <c r="AS1436" s="1008"/>
      <c r="AT1436" s="1008"/>
      <c r="AU1436" s="1008"/>
      <c r="AV1436" s="1008"/>
      <c r="AW1436" s="1008"/>
      <c r="AX1436" s="1008"/>
    </row>
    <row r="1437" spans="15:50">
      <c r="O1437" s="989"/>
      <c r="P1437" s="1008"/>
      <c r="Q1437" s="1008"/>
      <c r="R1437" s="1008"/>
      <c r="S1437" s="1008"/>
      <c r="T1437" s="1008"/>
      <c r="U1437" s="1008"/>
      <c r="V1437" s="1008"/>
      <c r="W1437" s="1008"/>
      <c r="X1437" s="1008"/>
      <c r="Y1437" s="1008"/>
      <c r="Z1437" s="1008"/>
      <c r="AA1437" s="1008"/>
      <c r="AB1437" s="1008"/>
      <c r="AC1437" s="1008"/>
      <c r="AD1437" s="1008"/>
      <c r="AE1437" s="1008"/>
      <c r="AF1437" s="1008"/>
      <c r="AG1437" s="1008"/>
      <c r="AH1437" s="1008"/>
      <c r="AI1437" s="1008"/>
      <c r="AJ1437" s="1008"/>
      <c r="AK1437" s="1008"/>
      <c r="AL1437" s="1008"/>
      <c r="AM1437" s="1008"/>
      <c r="AN1437" s="1008"/>
      <c r="AO1437" s="1008"/>
      <c r="AP1437" s="1008"/>
      <c r="AQ1437" s="1008"/>
      <c r="AR1437" s="1008"/>
      <c r="AS1437" s="1008"/>
      <c r="AT1437" s="1008"/>
      <c r="AU1437" s="1008"/>
      <c r="AV1437" s="1008"/>
      <c r="AW1437" s="1008"/>
      <c r="AX1437" s="1008"/>
    </row>
    <row r="1438" spans="15:50">
      <c r="O1438" s="989"/>
      <c r="P1438" s="1008"/>
      <c r="Q1438" s="1008"/>
      <c r="R1438" s="1008"/>
      <c r="S1438" s="1008"/>
      <c r="T1438" s="1008"/>
      <c r="U1438" s="1008"/>
      <c r="V1438" s="1008"/>
      <c r="W1438" s="1008"/>
      <c r="X1438" s="1008"/>
      <c r="Y1438" s="1008"/>
      <c r="Z1438" s="1008"/>
      <c r="AA1438" s="1008"/>
      <c r="AB1438" s="1008"/>
      <c r="AC1438" s="1008"/>
      <c r="AD1438" s="1008"/>
      <c r="AE1438" s="1008"/>
      <c r="AF1438" s="1008"/>
      <c r="AG1438" s="1008"/>
      <c r="AH1438" s="1008"/>
      <c r="AI1438" s="1008"/>
      <c r="AJ1438" s="1008"/>
      <c r="AK1438" s="1008"/>
      <c r="AL1438" s="1008"/>
      <c r="AM1438" s="1008"/>
      <c r="AN1438" s="1008"/>
      <c r="AO1438" s="1008"/>
      <c r="AP1438" s="1008"/>
      <c r="AQ1438" s="1008"/>
      <c r="AR1438" s="1008"/>
      <c r="AS1438" s="1008"/>
      <c r="AT1438" s="1008"/>
      <c r="AU1438" s="1008"/>
      <c r="AV1438" s="1008"/>
      <c r="AW1438" s="1008"/>
      <c r="AX1438" s="1008"/>
    </row>
    <row r="1439" spans="15:50">
      <c r="O1439" s="989"/>
      <c r="P1439" s="1008"/>
      <c r="Q1439" s="1008"/>
      <c r="R1439" s="1008"/>
      <c r="S1439" s="1008"/>
      <c r="T1439" s="1008"/>
      <c r="U1439" s="1008"/>
      <c r="V1439" s="1008"/>
      <c r="W1439" s="1008"/>
      <c r="X1439" s="1008"/>
      <c r="Y1439" s="1008"/>
      <c r="Z1439" s="1008"/>
      <c r="AA1439" s="1008"/>
      <c r="AB1439" s="1008"/>
      <c r="AC1439" s="1008"/>
      <c r="AD1439" s="1008"/>
      <c r="AE1439" s="1008"/>
      <c r="AF1439" s="1008"/>
      <c r="AG1439" s="1008"/>
      <c r="AH1439" s="1008"/>
      <c r="AI1439" s="1008"/>
      <c r="AJ1439" s="1008"/>
      <c r="AK1439" s="1008"/>
      <c r="AL1439" s="1008"/>
      <c r="AM1439" s="1008"/>
      <c r="AN1439" s="1008"/>
      <c r="AO1439" s="1008"/>
      <c r="AP1439" s="1008"/>
      <c r="AQ1439" s="1008"/>
      <c r="AR1439" s="1008"/>
      <c r="AS1439" s="1008"/>
      <c r="AT1439" s="1008"/>
      <c r="AU1439" s="1008"/>
      <c r="AV1439" s="1008"/>
      <c r="AW1439" s="1008"/>
      <c r="AX1439" s="1008"/>
    </row>
    <row r="1440" spans="15:50">
      <c r="O1440" s="989"/>
      <c r="P1440" s="1008"/>
      <c r="Q1440" s="1008"/>
      <c r="R1440" s="1008"/>
      <c r="S1440" s="1008"/>
      <c r="T1440" s="1008"/>
      <c r="U1440" s="1008"/>
      <c r="V1440" s="1008"/>
      <c r="W1440" s="1008"/>
      <c r="X1440" s="1008"/>
      <c r="Y1440" s="1008"/>
      <c r="Z1440" s="1008"/>
      <c r="AA1440" s="1008"/>
      <c r="AB1440" s="1008"/>
      <c r="AC1440" s="1008"/>
      <c r="AD1440" s="1008"/>
      <c r="AE1440" s="1008"/>
      <c r="AF1440" s="1008"/>
      <c r="AG1440" s="1008"/>
      <c r="AH1440" s="1008"/>
      <c r="AI1440" s="1008"/>
      <c r="AJ1440" s="1008"/>
      <c r="AK1440" s="1008"/>
      <c r="AL1440" s="1008"/>
      <c r="AM1440" s="1008"/>
      <c r="AN1440" s="1008"/>
      <c r="AO1440" s="1008"/>
      <c r="AP1440" s="1008"/>
      <c r="AQ1440" s="1008"/>
      <c r="AR1440" s="1008"/>
      <c r="AS1440" s="1008"/>
      <c r="AT1440" s="1008"/>
      <c r="AU1440" s="1008"/>
      <c r="AV1440" s="1008"/>
      <c r="AW1440" s="1008"/>
      <c r="AX1440" s="1008"/>
    </row>
    <row r="1441" spans="15:50">
      <c r="O1441" s="989"/>
      <c r="P1441" s="1008"/>
      <c r="Q1441" s="1008"/>
      <c r="R1441" s="1008"/>
      <c r="S1441" s="1008"/>
      <c r="T1441" s="1008"/>
      <c r="U1441" s="1008"/>
      <c r="V1441" s="1008"/>
      <c r="W1441" s="1008"/>
      <c r="X1441" s="1008"/>
      <c r="Y1441" s="1008"/>
      <c r="Z1441" s="1008"/>
      <c r="AA1441" s="1008"/>
      <c r="AB1441" s="1008"/>
      <c r="AC1441" s="1008"/>
      <c r="AD1441" s="1008"/>
      <c r="AE1441" s="1008"/>
      <c r="AF1441" s="1008"/>
      <c r="AG1441" s="1008"/>
      <c r="AH1441" s="1008"/>
      <c r="AI1441" s="1008"/>
      <c r="AJ1441" s="1008"/>
      <c r="AK1441" s="1008"/>
      <c r="AL1441" s="1008"/>
      <c r="AM1441" s="1008"/>
      <c r="AN1441" s="1008"/>
      <c r="AO1441" s="1008"/>
      <c r="AP1441" s="1008"/>
      <c r="AQ1441" s="1008"/>
      <c r="AR1441" s="1008"/>
      <c r="AS1441" s="1008"/>
      <c r="AT1441" s="1008"/>
      <c r="AU1441" s="1008"/>
      <c r="AV1441" s="1008"/>
      <c r="AW1441" s="1008"/>
      <c r="AX1441" s="1008"/>
    </row>
    <row r="1442" spans="15:50">
      <c r="O1442" s="989"/>
      <c r="P1442" s="1008"/>
      <c r="Q1442" s="1008"/>
      <c r="R1442" s="1008"/>
      <c r="S1442" s="1008"/>
      <c r="T1442" s="1008"/>
      <c r="U1442" s="1008"/>
      <c r="V1442" s="1008"/>
      <c r="W1442" s="1008"/>
      <c r="X1442" s="1008"/>
      <c r="Y1442" s="1008"/>
      <c r="Z1442" s="1008"/>
      <c r="AA1442" s="1008"/>
      <c r="AB1442" s="1008"/>
      <c r="AC1442" s="1008"/>
      <c r="AD1442" s="1008"/>
      <c r="AE1442" s="1008"/>
      <c r="AF1442" s="1008"/>
      <c r="AG1442" s="1008"/>
      <c r="AH1442" s="1008"/>
      <c r="AI1442" s="1008"/>
      <c r="AJ1442" s="1008"/>
      <c r="AK1442" s="1008"/>
      <c r="AL1442" s="1008"/>
      <c r="AM1442" s="1008"/>
      <c r="AN1442" s="1008"/>
      <c r="AO1442" s="1008"/>
      <c r="AP1442" s="1008"/>
      <c r="AQ1442" s="1008"/>
      <c r="AR1442" s="1008"/>
      <c r="AS1442" s="1008"/>
      <c r="AT1442" s="1008"/>
      <c r="AU1442" s="1008"/>
      <c r="AV1442" s="1008"/>
      <c r="AW1442" s="1008"/>
      <c r="AX1442" s="1008"/>
    </row>
    <row r="1443" spans="15:50">
      <c r="O1443" s="989"/>
      <c r="P1443" s="1008"/>
      <c r="Q1443" s="1008"/>
      <c r="R1443" s="1008"/>
      <c r="S1443" s="1008"/>
      <c r="T1443" s="1008"/>
      <c r="U1443" s="1008"/>
      <c r="V1443" s="1008"/>
      <c r="W1443" s="1008"/>
      <c r="X1443" s="1008"/>
      <c r="Y1443" s="1008"/>
      <c r="Z1443" s="1008"/>
      <c r="AA1443" s="1008"/>
      <c r="AB1443" s="1008"/>
      <c r="AC1443" s="1008"/>
      <c r="AD1443" s="1008"/>
      <c r="AE1443" s="1008"/>
      <c r="AF1443" s="1008"/>
      <c r="AG1443" s="1008"/>
      <c r="AH1443" s="1008"/>
      <c r="AI1443" s="1008"/>
      <c r="AJ1443" s="1008"/>
      <c r="AK1443" s="1008"/>
      <c r="AL1443" s="1008"/>
      <c r="AM1443" s="1008"/>
      <c r="AN1443" s="1008"/>
      <c r="AO1443" s="1008"/>
      <c r="AP1443" s="1008"/>
      <c r="AQ1443" s="1008"/>
      <c r="AR1443" s="1008"/>
      <c r="AS1443" s="1008"/>
      <c r="AT1443" s="1008"/>
      <c r="AU1443" s="1008"/>
      <c r="AV1443" s="1008"/>
      <c r="AW1443" s="1008"/>
      <c r="AX1443" s="1008"/>
    </row>
    <row r="1444" spans="15:50">
      <c r="O1444" s="989"/>
      <c r="P1444" s="1008"/>
      <c r="Q1444" s="1008"/>
      <c r="R1444" s="1008"/>
      <c r="S1444" s="1008"/>
      <c r="T1444" s="1008"/>
      <c r="U1444" s="1008"/>
      <c r="V1444" s="1008"/>
      <c r="W1444" s="1008"/>
      <c r="X1444" s="1008"/>
      <c r="Y1444" s="1008"/>
      <c r="Z1444" s="1008"/>
      <c r="AA1444" s="1008"/>
      <c r="AB1444" s="1008"/>
      <c r="AC1444" s="1008"/>
      <c r="AD1444" s="1008"/>
      <c r="AE1444" s="1008"/>
      <c r="AF1444" s="1008"/>
      <c r="AG1444" s="1008"/>
      <c r="AH1444" s="1008"/>
      <c r="AI1444" s="1008"/>
      <c r="AJ1444" s="1008"/>
      <c r="AK1444" s="1008"/>
      <c r="AL1444" s="1008"/>
      <c r="AM1444" s="1008"/>
      <c r="AN1444" s="1008"/>
      <c r="AO1444" s="1008"/>
      <c r="AP1444" s="1008"/>
      <c r="AQ1444" s="1008"/>
      <c r="AR1444" s="1008"/>
      <c r="AS1444" s="1008"/>
      <c r="AT1444" s="1008"/>
      <c r="AU1444" s="1008"/>
      <c r="AV1444" s="1008"/>
      <c r="AW1444" s="1008"/>
      <c r="AX1444" s="1008"/>
    </row>
    <row r="1445" spans="15:50">
      <c r="O1445" s="989"/>
      <c r="P1445" s="1008"/>
      <c r="Q1445" s="1008"/>
      <c r="R1445" s="1008"/>
      <c r="S1445" s="1008"/>
      <c r="T1445" s="1008"/>
      <c r="U1445" s="1008"/>
      <c r="V1445" s="1008"/>
      <c r="W1445" s="1008"/>
      <c r="X1445" s="1008"/>
      <c r="Y1445" s="1008"/>
      <c r="Z1445" s="1008"/>
      <c r="AA1445" s="1008"/>
      <c r="AB1445" s="1008"/>
      <c r="AC1445" s="1008"/>
      <c r="AD1445" s="1008"/>
      <c r="AE1445" s="1008"/>
      <c r="AF1445" s="1008"/>
      <c r="AG1445" s="1008"/>
      <c r="AH1445" s="1008"/>
      <c r="AI1445" s="1008"/>
      <c r="AJ1445" s="1008"/>
      <c r="AK1445" s="1008"/>
      <c r="AL1445" s="1008"/>
      <c r="AM1445" s="1008"/>
      <c r="AN1445" s="1008"/>
      <c r="AO1445" s="1008"/>
      <c r="AP1445" s="1008"/>
      <c r="AQ1445" s="1008"/>
      <c r="AR1445" s="1008"/>
      <c r="AS1445" s="1008"/>
      <c r="AT1445" s="1008"/>
      <c r="AU1445" s="1008"/>
      <c r="AV1445" s="1008"/>
      <c r="AW1445" s="1008"/>
      <c r="AX1445" s="1008"/>
    </row>
    <row r="1446" spans="15:50">
      <c r="O1446" s="989"/>
      <c r="P1446" s="1008"/>
      <c r="Q1446" s="1008"/>
      <c r="R1446" s="1008"/>
      <c r="S1446" s="1008"/>
      <c r="T1446" s="1008"/>
      <c r="U1446" s="1008"/>
      <c r="V1446" s="1008"/>
      <c r="W1446" s="1008"/>
      <c r="X1446" s="1008"/>
      <c r="Y1446" s="1008"/>
      <c r="Z1446" s="1008"/>
      <c r="AA1446" s="1008"/>
      <c r="AB1446" s="1008"/>
      <c r="AC1446" s="1008"/>
      <c r="AD1446" s="1008"/>
      <c r="AE1446" s="1008"/>
      <c r="AF1446" s="1008"/>
      <c r="AG1446" s="1008"/>
      <c r="AH1446" s="1008"/>
      <c r="AI1446" s="1008"/>
      <c r="AJ1446" s="1008"/>
      <c r="AK1446" s="1008"/>
      <c r="AL1446" s="1008"/>
      <c r="AM1446" s="1008"/>
      <c r="AN1446" s="1008"/>
      <c r="AO1446" s="1008"/>
      <c r="AP1446" s="1008"/>
      <c r="AQ1446" s="1008"/>
      <c r="AR1446" s="1008"/>
      <c r="AS1446" s="1008"/>
      <c r="AT1446" s="1008"/>
      <c r="AU1446" s="1008"/>
      <c r="AV1446" s="1008"/>
      <c r="AW1446" s="1008"/>
      <c r="AX1446" s="1008"/>
    </row>
    <row r="1447" spans="15:50">
      <c r="O1447" s="989"/>
      <c r="P1447" s="1008"/>
      <c r="Q1447" s="1008"/>
      <c r="R1447" s="1008"/>
      <c r="S1447" s="1008"/>
      <c r="T1447" s="1008"/>
      <c r="U1447" s="1008"/>
      <c r="V1447" s="1008"/>
      <c r="W1447" s="1008"/>
      <c r="X1447" s="1008"/>
      <c r="Y1447" s="1008"/>
      <c r="Z1447" s="1008"/>
      <c r="AA1447" s="1008"/>
      <c r="AB1447" s="1008"/>
      <c r="AC1447" s="1008"/>
      <c r="AD1447" s="1008"/>
      <c r="AE1447" s="1008"/>
      <c r="AF1447" s="1008"/>
      <c r="AG1447" s="1008"/>
      <c r="AH1447" s="1008"/>
      <c r="AI1447" s="1008"/>
      <c r="AJ1447" s="1008"/>
      <c r="AK1447" s="1008"/>
      <c r="AL1447" s="1008"/>
      <c r="AM1447" s="1008"/>
      <c r="AN1447" s="1008"/>
      <c r="AO1447" s="1008"/>
      <c r="AP1447" s="1008"/>
      <c r="AQ1447" s="1008"/>
      <c r="AR1447" s="1008"/>
      <c r="AS1447" s="1008"/>
      <c r="AT1447" s="1008"/>
      <c r="AU1447" s="1008"/>
      <c r="AV1447" s="1008"/>
      <c r="AW1447" s="1008"/>
      <c r="AX1447" s="1008"/>
    </row>
    <row r="1448" spans="15:50">
      <c r="O1448" s="989"/>
      <c r="P1448" s="1008"/>
      <c r="Q1448" s="1008"/>
      <c r="R1448" s="1008"/>
      <c r="S1448" s="1008"/>
      <c r="T1448" s="1008"/>
      <c r="U1448" s="1008"/>
      <c r="V1448" s="1008"/>
      <c r="W1448" s="1008"/>
      <c r="X1448" s="1008"/>
      <c r="Y1448" s="1008"/>
      <c r="Z1448" s="1008"/>
      <c r="AA1448" s="1008"/>
      <c r="AB1448" s="1008"/>
      <c r="AC1448" s="1008"/>
      <c r="AD1448" s="1008"/>
      <c r="AE1448" s="1008"/>
      <c r="AF1448" s="1008"/>
      <c r="AG1448" s="1008"/>
      <c r="AH1448" s="1008"/>
      <c r="AI1448" s="1008"/>
      <c r="AJ1448" s="1008"/>
      <c r="AK1448" s="1008"/>
      <c r="AL1448" s="1008"/>
      <c r="AM1448" s="1008"/>
      <c r="AN1448" s="1008"/>
      <c r="AO1448" s="1008"/>
      <c r="AP1448" s="1008"/>
      <c r="AQ1448" s="1008"/>
      <c r="AR1448" s="1008"/>
      <c r="AS1448" s="1008"/>
      <c r="AT1448" s="1008"/>
      <c r="AU1448" s="1008"/>
      <c r="AV1448" s="1008"/>
      <c r="AW1448" s="1008"/>
      <c r="AX1448" s="1008"/>
    </row>
    <row r="1449" spans="15:50">
      <c r="O1449" s="989"/>
      <c r="P1449" s="1008"/>
      <c r="Q1449" s="1008"/>
      <c r="R1449" s="1008"/>
      <c r="S1449" s="1008"/>
      <c r="T1449" s="1008"/>
      <c r="U1449" s="1008"/>
      <c r="V1449" s="1008"/>
      <c r="W1449" s="1008"/>
      <c r="X1449" s="1008"/>
      <c r="Y1449" s="1008"/>
      <c r="Z1449" s="1008"/>
      <c r="AA1449" s="1008"/>
      <c r="AB1449" s="1008"/>
      <c r="AC1449" s="1008"/>
      <c r="AD1449" s="1008"/>
      <c r="AE1449" s="1008"/>
      <c r="AF1449" s="1008"/>
      <c r="AG1449" s="1008"/>
      <c r="AH1449" s="1008"/>
      <c r="AI1449" s="1008"/>
      <c r="AJ1449" s="1008"/>
      <c r="AK1449" s="1008"/>
      <c r="AL1449" s="1008"/>
      <c r="AM1449" s="1008"/>
      <c r="AN1449" s="1008"/>
      <c r="AO1449" s="1008"/>
      <c r="AP1449" s="1008"/>
      <c r="AQ1449" s="1008"/>
      <c r="AR1449" s="1008"/>
      <c r="AS1449" s="1008"/>
      <c r="AT1449" s="1008"/>
      <c r="AU1449" s="1008"/>
      <c r="AV1449" s="1008"/>
      <c r="AW1449" s="1008"/>
      <c r="AX1449" s="1008"/>
    </row>
    <row r="1450" spans="15:50">
      <c r="O1450" s="989"/>
      <c r="P1450" s="1008"/>
      <c r="Q1450" s="1008"/>
      <c r="R1450" s="1008"/>
      <c r="S1450" s="1008"/>
      <c r="T1450" s="1008"/>
      <c r="U1450" s="1008"/>
      <c r="V1450" s="1008"/>
      <c r="W1450" s="1008"/>
      <c r="X1450" s="1008"/>
      <c r="Y1450" s="1008"/>
      <c r="Z1450" s="1008"/>
      <c r="AA1450" s="1008"/>
      <c r="AB1450" s="1008"/>
      <c r="AC1450" s="1008"/>
      <c r="AD1450" s="1008"/>
      <c r="AE1450" s="1008"/>
      <c r="AF1450" s="1008"/>
      <c r="AG1450" s="1008"/>
      <c r="AH1450" s="1008"/>
      <c r="AI1450" s="1008"/>
      <c r="AJ1450" s="1008"/>
      <c r="AK1450" s="1008"/>
      <c r="AL1450" s="1008"/>
      <c r="AM1450" s="1008"/>
      <c r="AN1450" s="1008"/>
      <c r="AO1450" s="1008"/>
      <c r="AP1450" s="1008"/>
      <c r="AQ1450" s="1008"/>
      <c r="AR1450" s="1008"/>
      <c r="AS1450" s="1008"/>
      <c r="AT1450" s="1008"/>
      <c r="AU1450" s="1008"/>
      <c r="AV1450" s="1008"/>
      <c r="AW1450" s="1008"/>
      <c r="AX1450" s="1008"/>
    </row>
    <row r="1451" spans="15:50">
      <c r="O1451" s="989"/>
      <c r="P1451" s="1008"/>
      <c r="Q1451" s="1008"/>
      <c r="R1451" s="1008"/>
      <c r="S1451" s="1008"/>
      <c r="T1451" s="1008"/>
      <c r="U1451" s="1008"/>
      <c r="V1451" s="1008"/>
      <c r="W1451" s="1008"/>
      <c r="X1451" s="1008"/>
      <c r="Y1451" s="1008"/>
      <c r="Z1451" s="1008"/>
      <c r="AA1451" s="1008"/>
      <c r="AB1451" s="1008"/>
      <c r="AC1451" s="1008"/>
      <c r="AD1451" s="1008"/>
      <c r="AE1451" s="1008"/>
      <c r="AF1451" s="1008"/>
      <c r="AG1451" s="1008"/>
      <c r="AH1451" s="1008"/>
      <c r="AI1451" s="1008"/>
      <c r="AJ1451" s="1008"/>
      <c r="AK1451" s="1008"/>
      <c r="AL1451" s="1008"/>
      <c r="AM1451" s="1008"/>
      <c r="AN1451" s="1008"/>
      <c r="AO1451" s="1008"/>
      <c r="AP1451" s="1008"/>
      <c r="AQ1451" s="1008"/>
      <c r="AR1451" s="1008"/>
      <c r="AS1451" s="1008"/>
      <c r="AT1451" s="1008"/>
      <c r="AU1451" s="1008"/>
      <c r="AV1451" s="1008"/>
      <c r="AW1451" s="1008"/>
      <c r="AX1451" s="1008"/>
    </row>
    <row r="1452" spans="15:50">
      <c r="O1452" s="989"/>
      <c r="P1452" s="1008"/>
      <c r="Q1452" s="1008"/>
      <c r="R1452" s="1008"/>
      <c r="S1452" s="1008"/>
      <c r="T1452" s="1008"/>
      <c r="U1452" s="1008"/>
      <c r="V1452" s="1008"/>
      <c r="W1452" s="1008"/>
      <c r="X1452" s="1008"/>
      <c r="Y1452" s="1008"/>
      <c r="Z1452" s="1008"/>
      <c r="AA1452" s="1008"/>
      <c r="AB1452" s="1008"/>
      <c r="AC1452" s="1008"/>
      <c r="AD1452" s="1008"/>
      <c r="AE1452" s="1008"/>
      <c r="AF1452" s="1008"/>
      <c r="AG1452" s="1008"/>
      <c r="AH1452" s="1008"/>
      <c r="AI1452" s="1008"/>
      <c r="AJ1452" s="1008"/>
      <c r="AK1452" s="1008"/>
      <c r="AL1452" s="1008"/>
      <c r="AM1452" s="1008"/>
      <c r="AN1452" s="1008"/>
      <c r="AO1452" s="1008"/>
      <c r="AP1452" s="1008"/>
      <c r="AQ1452" s="1008"/>
      <c r="AR1452" s="1008"/>
      <c r="AS1452" s="1008"/>
      <c r="AT1452" s="1008"/>
      <c r="AU1452" s="1008"/>
      <c r="AV1452" s="1008"/>
      <c r="AW1452" s="1008"/>
      <c r="AX1452" s="1008"/>
    </row>
    <row r="1453" spans="15:50">
      <c r="O1453" s="989"/>
      <c r="P1453" s="1008"/>
      <c r="Q1453" s="1008"/>
      <c r="R1453" s="1008"/>
      <c r="S1453" s="1008"/>
      <c r="T1453" s="1008"/>
      <c r="U1453" s="1008"/>
      <c r="V1453" s="1008"/>
      <c r="W1453" s="1008"/>
      <c r="X1453" s="1008"/>
      <c r="Y1453" s="1008"/>
      <c r="Z1453" s="1008"/>
      <c r="AA1453" s="1008"/>
      <c r="AB1453" s="1008"/>
      <c r="AC1453" s="1008"/>
      <c r="AD1453" s="1008"/>
      <c r="AE1453" s="1008"/>
      <c r="AF1453" s="1008"/>
      <c r="AG1453" s="1008"/>
      <c r="AH1453" s="1008"/>
      <c r="AI1453" s="1008"/>
      <c r="AJ1453" s="1008"/>
      <c r="AK1453" s="1008"/>
      <c r="AL1453" s="1008"/>
      <c r="AM1453" s="1008"/>
      <c r="AN1453" s="1008"/>
      <c r="AO1453" s="1008"/>
      <c r="AP1453" s="1008"/>
      <c r="AQ1453" s="1008"/>
      <c r="AR1453" s="1008"/>
      <c r="AS1453" s="1008"/>
      <c r="AT1453" s="1008"/>
      <c r="AU1453" s="1008"/>
      <c r="AV1453" s="1008"/>
      <c r="AW1453" s="1008"/>
      <c r="AX1453" s="1008"/>
    </row>
    <row r="1454" spans="15:50">
      <c r="O1454" s="989"/>
      <c r="P1454" s="1008"/>
      <c r="Q1454" s="1008"/>
      <c r="R1454" s="1008"/>
      <c r="S1454" s="1008"/>
      <c r="T1454" s="1008"/>
      <c r="U1454" s="1008"/>
      <c r="V1454" s="1008"/>
      <c r="W1454" s="1008"/>
      <c r="X1454" s="1008"/>
      <c r="Y1454" s="1008"/>
      <c r="Z1454" s="1008"/>
      <c r="AA1454" s="1008"/>
      <c r="AB1454" s="1008"/>
      <c r="AC1454" s="1008"/>
      <c r="AD1454" s="1008"/>
      <c r="AE1454" s="1008"/>
      <c r="AF1454" s="1008"/>
      <c r="AG1454" s="1008"/>
      <c r="AH1454" s="1008"/>
      <c r="AI1454" s="1008"/>
      <c r="AJ1454" s="1008"/>
      <c r="AK1454" s="1008"/>
      <c r="AL1454" s="1008"/>
      <c r="AM1454" s="1008"/>
      <c r="AN1454" s="1008"/>
      <c r="AO1454" s="1008"/>
      <c r="AP1454" s="1008"/>
      <c r="AQ1454" s="1008"/>
      <c r="AR1454" s="1008"/>
      <c r="AS1454" s="1008"/>
      <c r="AT1454" s="1008"/>
      <c r="AU1454" s="1008"/>
      <c r="AV1454" s="1008"/>
      <c r="AW1454" s="1008"/>
      <c r="AX1454" s="1008"/>
    </row>
    <row r="1455" spans="15:50">
      <c r="O1455" s="989"/>
      <c r="P1455" s="1008"/>
      <c r="Q1455" s="1008"/>
      <c r="R1455" s="1008"/>
      <c r="S1455" s="1008"/>
      <c r="T1455" s="1008"/>
      <c r="U1455" s="1008"/>
      <c r="V1455" s="1008"/>
      <c r="W1455" s="1008"/>
      <c r="X1455" s="1008"/>
      <c r="Y1455" s="1008"/>
      <c r="Z1455" s="1008"/>
      <c r="AA1455" s="1008"/>
      <c r="AB1455" s="1008"/>
      <c r="AC1455" s="1008"/>
      <c r="AD1455" s="1008"/>
      <c r="AE1455" s="1008"/>
      <c r="AF1455" s="1008"/>
      <c r="AG1455" s="1008"/>
      <c r="AH1455" s="1008"/>
      <c r="AI1455" s="1008"/>
      <c r="AJ1455" s="1008"/>
      <c r="AK1455" s="1008"/>
      <c r="AL1455" s="1008"/>
      <c r="AM1455" s="1008"/>
      <c r="AN1455" s="1008"/>
      <c r="AO1455" s="1008"/>
      <c r="AP1455" s="1008"/>
      <c r="AQ1455" s="1008"/>
      <c r="AR1455" s="1008"/>
      <c r="AS1455" s="1008"/>
      <c r="AT1455" s="1008"/>
      <c r="AU1455" s="1008"/>
      <c r="AV1455" s="1008"/>
      <c r="AW1455" s="1008"/>
      <c r="AX1455" s="1008"/>
    </row>
    <row r="1456" spans="15:50">
      <c r="O1456" s="989"/>
      <c r="P1456" s="1008"/>
      <c r="Q1456" s="1008"/>
      <c r="R1456" s="1008"/>
      <c r="S1456" s="1008"/>
      <c r="T1456" s="1008"/>
      <c r="U1456" s="1008"/>
      <c r="V1456" s="1008"/>
      <c r="W1456" s="1008"/>
      <c r="X1456" s="1008"/>
      <c r="Y1456" s="1008"/>
      <c r="Z1456" s="1008"/>
      <c r="AA1456" s="1008"/>
      <c r="AB1456" s="1008"/>
      <c r="AC1456" s="1008"/>
      <c r="AD1456" s="1008"/>
      <c r="AE1456" s="1008"/>
      <c r="AF1456" s="1008"/>
      <c r="AG1456" s="1008"/>
      <c r="AH1456" s="1008"/>
      <c r="AI1456" s="1008"/>
      <c r="AJ1456" s="1008"/>
      <c r="AK1456" s="1008"/>
      <c r="AL1456" s="1008"/>
      <c r="AM1456" s="1008"/>
      <c r="AN1456" s="1008"/>
      <c r="AO1456" s="1008"/>
      <c r="AP1456" s="1008"/>
      <c r="AQ1456" s="1008"/>
      <c r="AR1456" s="1008"/>
      <c r="AS1456" s="1008"/>
      <c r="AT1456" s="1008"/>
      <c r="AU1456" s="1008"/>
      <c r="AV1456" s="1008"/>
      <c r="AW1456" s="1008"/>
      <c r="AX1456" s="1008"/>
    </row>
    <row r="1457" spans="15:50">
      <c r="O1457" s="989"/>
      <c r="P1457" s="1008"/>
      <c r="Q1457" s="1008"/>
      <c r="R1457" s="1008"/>
      <c r="S1457" s="1008"/>
      <c r="T1457" s="1008"/>
      <c r="U1457" s="1008"/>
      <c r="V1457" s="1008"/>
      <c r="W1457" s="1008"/>
      <c r="X1457" s="1008"/>
      <c r="Y1457" s="1008"/>
      <c r="Z1457" s="1008"/>
      <c r="AA1457" s="1008"/>
      <c r="AB1457" s="1008"/>
      <c r="AC1457" s="1008"/>
      <c r="AD1457" s="1008"/>
      <c r="AE1457" s="1008"/>
      <c r="AF1457" s="1008"/>
      <c r="AG1457" s="1008"/>
      <c r="AH1457" s="1008"/>
      <c r="AI1457" s="1008"/>
      <c r="AJ1457" s="1008"/>
      <c r="AK1457" s="1008"/>
      <c r="AL1457" s="1008"/>
      <c r="AM1457" s="1008"/>
      <c r="AN1457" s="1008"/>
      <c r="AO1457" s="1008"/>
      <c r="AP1457" s="1008"/>
      <c r="AQ1457" s="1008"/>
      <c r="AR1457" s="1008"/>
      <c r="AS1457" s="1008"/>
      <c r="AT1457" s="1008"/>
      <c r="AU1457" s="1008"/>
      <c r="AV1457" s="1008"/>
      <c r="AW1457" s="1008"/>
      <c r="AX1457" s="1008"/>
    </row>
    <row r="1458" spans="15:50">
      <c r="O1458" s="989"/>
      <c r="P1458" s="1008"/>
      <c r="Q1458" s="1008"/>
      <c r="R1458" s="1008"/>
      <c r="S1458" s="1008"/>
      <c r="T1458" s="1008"/>
      <c r="U1458" s="1008"/>
      <c r="V1458" s="1008"/>
      <c r="W1458" s="1008"/>
      <c r="X1458" s="1008"/>
      <c r="Y1458" s="1008"/>
      <c r="Z1458" s="1008"/>
      <c r="AA1458" s="1008"/>
      <c r="AB1458" s="1008"/>
      <c r="AC1458" s="1008"/>
      <c r="AD1458" s="1008"/>
      <c r="AE1458" s="1008"/>
      <c r="AF1458" s="1008"/>
      <c r="AG1458" s="1008"/>
      <c r="AH1458" s="1008"/>
      <c r="AI1458" s="1008"/>
      <c r="AJ1458" s="1008"/>
      <c r="AK1458" s="1008"/>
      <c r="AL1458" s="1008"/>
      <c r="AM1458" s="1008"/>
      <c r="AN1458" s="1008"/>
      <c r="AO1458" s="1008"/>
      <c r="AP1458" s="1008"/>
      <c r="AQ1458" s="1008"/>
      <c r="AR1458" s="1008"/>
      <c r="AS1458" s="1008"/>
      <c r="AT1458" s="1008"/>
      <c r="AU1458" s="1008"/>
      <c r="AV1458" s="1008"/>
      <c r="AW1458" s="1008"/>
      <c r="AX1458" s="1008"/>
    </row>
    <row r="1459" spans="15:50">
      <c r="O1459" s="989"/>
      <c r="P1459" s="1008"/>
      <c r="Q1459" s="1008"/>
      <c r="R1459" s="1008"/>
      <c r="S1459" s="1008"/>
      <c r="T1459" s="1008"/>
      <c r="U1459" s="1008"/>
      <c r="V1459" s="1008"/>
      <c r="W1459" s="1008"/>
      <c r="X1459" s="1008"/>
      <c r="Y1459" s="1008"/>
      <c r="Z1459" s="1008"/>
      <c r="AA1459" s="1008"/>
      <c r="AB1459" s="1008"/>
      <c r="AC1459" s="1008"/>
      <c r="AD1459" s="1008"/>
      <c r="AE1459" s="1008"/>
      <c r="AF1459" s="1008"/>
      <c r="AG1459" s="1008"/>
      <c r="AH1459" s="1008"/>
      <c r="AI1459" s="1008"/>
      <c r="AJ1459" s="1008"/>
      <c r="AK1459" s="1008"/>
      <c r="AL1459" s="1008"/>
      <c r="AM1459" s="1008"/>
      <c r="AN1459" s="1008"/>
      <c r="AO1459" s="1008"/>
      <c r="AP1459" s="1008"/>
      <c r="AQ1459" s="1008"/>
      <c r="AR1459" s="1008"/>
      <c r="AS1459" s="1008"/>
      <c r="AT1459" s="1008"/>
      <c r="AU1459" s="1008"/>
      <c r="AV1459" s="1008"/>
      <c r="AW1459" s="1008"/>
      <c r="AX1459" s="1008"/>
    </row>
    <row r="1460" spans="15:50">
      <c r="O1460" s="989"/>
      <c r="P1460" s="1008"/>
      <c r="Q1460" s="1008"/>
      <c r="R1460" s="1008"/>
      <c r="S1460" s="1008"/>
      <c r="T1460" s="1008"/>
      <c r="U1460" s="1008"/>
      <c r="V1460" s="1008"/>
      <c r="W1460" s="1008"/>
      <c r="X1460" s="1008"/>
      <c r="Y1460" s="1008"/>
      <c r="Z1460" s="1008"/>
      <c r="AA1460" s="1008"/>
      <c r="AB1460" s="1008"/>
      <c r="AC1460" s="1008"/>
      <c r="AD1460" s="1008"/>
      <c r="AE1460" s="1008"/>
      <c r="AF1460" s="1008"/>
      <c r="AG1460" s="1008"/>
      <c r="AH1460" s="1008"/>
      <c r="AI1460" s="1008"/>
      <c r="AJ1460" s="1008"/>
      <c r="AK1460" s="1008"/>
      <c r="AL1460" s="1008"/>
      <c r="AM1460" s="1008"/>
      <c r="AN1460" s="1008"/>
      <c r="AO1460" s="1008"/>
      <c r="AP1460" s="1008"/>
      <c r="AQ1460" s="1008"/>
      <c r="AR1460" s="1008"/>
      <c r="AS1460" s="1008"/>
      <c r="AT1460" s="1008"/>
      <c r="AU1460" s="1008"/>
      <c r="AV1460" s="1008"/>
      <c r="AW1460" s="1008"/>
      <c r="AX1460" s="1008"/>
    </row>
    <row r="1461" spans="15:50">
      <c r="O1461" s="989"/>
      <c r="P1461" s="1008"/>
      <c r="Q1461" s="1008"/>
      <c r="R1461" s="1008"/>
      <c r="S1461" s="1008"/>
      <c r="T1461" s="1008"/>
      <c r="U1461" s="1008"/>
      <c r="V1461" s="1008"/>
      <c r="W1461" s="1008"/>
      <c r="X1461" s="1008"/>
      <c r="Y1461" s="1008"/>
      <c r="Z1461" s="1008"/>
      <c r="AA1461" s="1008"/>
      <c r="AB1461" s="1008"/>
      <c r="AC1461" s="1008"/>
      <c r="AD1461" s="1008"/>
      <c r="AE1461" s="1008"/>
      <c r="AF1461" s="1008"/>
      <c r="AG1461" s="1008"/>
      <c r="AH1461" s="1008"/>
      <c r="AI1461" s="1008"/>
      <c r="AJ1461" s="1008"/>
      <c r="AK1461" s="1008"/>
      <c r="AL1461" s="1008"/>
      <c r="AM1461" s="1008"/>
      <c r="AN1461" s="1008"/>
      <c r="AO1461" s="1008"/>
      <c r="AP1461" s="1008"/>
      <c r="AQ1461" s="1008"/>
      <c r="AR1461" s="1008"/>
      <c r="AS1461" s="1008"/>
      <c r="AT1461" s="1008"/>
      <c r="AU1461" s="1008"/>
      <c r="AV1461" s="1008"/>
      <c r="AW1461" s="1008"/>
      <c r="AX1461" s="1008"/>
    </row>
    <row r="1462" spans="15:50">
      <c r="O1462" s="989"/>
      <c r="P1462" s="1008"/>
      <c r="Q1462" s="1008"/>
      <c r="R1462" s="1008"/>
      <c r="S1462" s="1008"/>
      <c r="T1462" s="1008"/>
      <c r="U1462" s="1008"/>
      <c r="V1462" s="1008"/>
      <c r="W1462" s="1008"/>
      <c r="X1462" s="1008"/>
      <c r="Y1462" s="1008"/>
      <c r="Z1462" s="1008"/>
      <c r="AA1462" s="1008"/>
      <c r="AB1462" s="1008"/>
      <c r="AC1462" s="1008"/>
      <c r="AD1462" s="1008"/>
      <c r="AE1462" s="1008"/>
      <c r="AF1462" s="1008"/>
      <c r="AG1462" s="1008"/>
      <c r="AH1462" s="1008"/>
      <c r="AI1462" s="1008"/>
      <c r="AJ1462" s="1008"/>
      <c r="AK1462" s="1008"/>
      <c r="AL1462" s="1008"/>
      <c r="AM1462" s="1008"/>
      <c r="AN1462" s="1008"/>
      <c r="AO1462" s="1008"/>
      <c r="AP1462" s="1008"/>
      <c r="AQ1462" s="1008"/>
      <c r="AR1462" s="1008"/>
      <c r="AS1462" s="1008"/>
      <c r="AT1462" s="1008"/>
      <c r="AU1462" s="1008"/>
      <c r="AV1462" s="1008"/>
      <c r="AW1462" s="1008"/>
      <c r="AX1462" s="1008"/>
    </row>
    <row r="1463" spans="15:50">
      <c r="O1463" s="989"/>
      <c r="P1463" s="1008"/>
      <c r="Q1463" s="1008"/>
      <c r="R1463" s="1008"/>
      <c r="S1463" s="1008"/>
      <c r="T1463" s="1008"/>
      <c r="U1463" s="1008"/>
      <c r="V1463" s="1008"/>
      <c r="W1463" s="1008"/>
      <c r="X1463" s="1008"/>
      <c r="Y1463" s="1008"/>
      <c r="Z1463" s="1008"/>
      <c r="AA1463" s="1008"/>
      <c r="AB1463" s="1008"/>
      <c r="AC1463" s="1008"/>
      <c r="AD1463" s="1008"/>
      <c r="AE1463" s="1008"/>
      <c r="AF1463" s="1008"/>
      <c r="AG1463" s="1008"/>
      <c r="AH1463" s="1008"/>
      <c r="AI1463" s="1008"/>
      <c r="AJ1463" s="1008"/>
      <c r="AK1463" s="1008"/>
      <c r="AL1463" s="1008"/>
      <c r="AM1463" s="1008"/>
      <c r="AN1463" s="1008"/>
      <c r="AO1463" s="1008"/>
      <c r="AP1463" s="1008"/>
      <c r="AQ1463" s="1008"/>
      <c r="AR1463" s="1008"/>
      <c r="AS1463" s="1008"/>
      <c r="AT1463" s="1008"/>
      <c r="AU1463" s="1008"/>
      <c r="AV1463" s="1008"/>
      <c r="AW1463" s="1008"/>
      <c r="AX1463" s="1008"/>
    </row>
    <row r="1464" spans="15:50">
      <c r="O1464" s="989"/>
      <c r="P1464" s="1008"/>
      <c r="Q1464" s="1008"/>
      <c r="R1464" s="1008"/>
      <c r="S1464" s="1008"/>
      <c r="T1464" s="1008"/>
      <c r="U1464" s="1008"/>
      <c r="V1464" s="1008"/>
      <c r="W1464" s="1008"/>
      <c r="X1464" s="1008"/>
      <c r="Y1464" s="1008"/>
      <c r="Z1464" s="1008"/>
      <c r="AA1464" s="1008"/>
      <c r="AB1464" s="1008"/>
      <c r="AC1464" s="1008"/>
      <c r="AD1464" s="1008"/>
      <c r="AE1464" s="1008"/>
      <c r="AF1464" s="1008"/>
      <c r="AG1464" s="1008"/>
      <c r="AH1464" s="1008"/>
      <c r="AI1464" s="1008"/>
      <c r="AJ1464" s="1008"/>
      <c r="AK1464" s="1008"/>
      <c r="AL1464" s="1008"/>
      <c r="AM1464" s="1008"/>
      <c r="AN1464" s="1008"/>
      <c r="AO1464" s="1008"/>
      <c r="AP1464" s="1008"/>
      <c r="AQ1464" s="1008"/>
      <c r="AR1464" s="1008"/>
      <c r="AS1464" s="1008"/>
      <c r="AT1464" s="1008"/>
      <c r="AU1464" s="1008"/>
      <c r="AV1464" s="1008"/>
      <c r="AW1464" s="1008"/>
      <c r="AX1464" s="1008"/>
    </row>
    <row r="1465" spans="15:50">
      <c r="O1465" s="989"/>
      <c r="P1465" s="1008"/>
      <c r="Q1465" s="1008"/>
      <c r="R1465" s="1008"/>
      <c r="S1465" s="1008"/>
      <c r="T1465" s="1008"/>
      <c r="U1465" s="1008"/>
      <c r="V1465" s="1008"/>
      <c r="W1465" s="1008"/>
      <c r="X1465" s="1008"/>
      <c r="Y1465" s="1008"/>
      <c r="Z1465" s="1008"/>
      <c r="AA1465" s="1008"/>
      <c r="AB1465" s="1008"/>
      <c r="AC1465" s="1008"/>
      <c r="AD1465" s="1008"/>
      <c r="AE1465" s="1008"/>
      <c r="AF1465" s="1008"/>
      <c r="AG1465" s="1008"/>
      <c r="AH1465" s="1008"/>
      <c r="AI1465" s="1008"/>
      <c r="AJ1465" s="1008"/>
      <c r="AK1465" s="1008"/>
      <c r="AL1465" s="1008"/>
      <c r="AM1465" s="1008"/>
      <c r="AN1465" s="1008"/>
      <c r="AO1465" s="1008"/>
      <c r="AP1465" s="1008"/>
      <c r="AQ1465" s="1008"/>
      <c r="AR1465" s="1008"/>
      <c r="AS1465" s="1008"/>
      <c r="AT1465" s="1008"/>
      <c r="AU1465" s="1008"/>
      <c r="AV1465" s="1008"/>
      <c r="AW1465" s="1008"/>
      <c r="AX1465" s="1008"/>
    </row>
    <row r="1466" spans="15:50">
      <c r="O1466" s="989"/>
      <c r="P1466" s="1008"/>
      <c r="Q1466" s="1008"/>
      <c r="R1466" s="1008"/>
      <c r="S1466" s="1008"/>
      <c r="T1466" s="1008"/>
      <c r="U1466" s="1008"/>
      <c r="V1466" s="1008"/>
      <c r="W1466" s="1008"/>
      <c r="X1466" s="1008"/>
      <c r="Y1466" s="1008"/>
      <c r="Z1466" s="1008"/>
      <c r="AA1466" s="1008"/>
      <c r="AB1466" s="1008"/>
      <c r="AC1466" s="1008"/>
      <c r="AD1466" s="1008"/>
      <c r="AE1466" s="1008"/>
      <c r="AF1466" s="1008"/>
      <c r="AG1466" s="1008"/>
      <c r="AH1466" s="1008"/>
      <c r="AI1466" s="1008"/>
      <c r="AJ1466" s="1008"/>
      <c r="AK1466" s="1008"/>
      <c r="AL1466" s="1008"/>
      <c r="AM1466" s="1008"/>
      <c r="AN1466" s="1008"/>
      <c r="AO1466" s="1008"/>
      <c r="AP1466" s="1008"/>
      <c r="AQ1466" s="1008"/>
      <c r="AR1466" s="1008"/>
      <c r="AS1466" s="1008"/>
      <c r="AT1466" s="1008"/>
      <c r="AU1466" s="1008"/>
      <c r="AV1466" s="1008"/>
      <c r="AW1466" s="1008"/>
      <c r="AX1466" s="1008"/>
    </row>
    <row r="1467" spans="15:50">
      <c r="O1467" s="989"/>
      <c r="P1467" s="1008"/>
      <c r="Q1467" s="1008"/>
      <c r="R1467" s="1008"/>
      <c r="S1467" s="1008"/>
      <c r="T1467" s="1008"/>
      <c r="U1467" s="1008"/>
      <c r="V1467" s="1008"/>
      <c r="W1467" s="1008"/>
      <c r="X1467" s="1008"/>
      <c r="Y1467" s="1008"/>
      <c r="Z1467" s="1008"/>
      <c r="AA1467" s="1008"/>
      <c r="AB1467" s="1008"/>
      <c r="AC1467" s="1008"/>
      <c r="AD1467" s="1008"/>
      <c r="AE1467" s="1008"/>
      <c r="AF1467" s="1008"/>
      <c r="AG1467" s="1008"/>
      <c r="AH1467" s="1008"/>
      <c r="AI1467" s="1008"/>
      <c r="AJ1467" s="1008"/>
      <c r="AK1467" s="1008"/>
      <c r="AL1467" s="1008"/>
      <c r="AM1467" s="1008"/>
      <c r="AN1467" s="1008"/>
      <c r="AO1467" s="1008"/>
      <c r="AP1467" s="1008"/>
      <c r="AQ1467" s="1008"/>
      <c r="AR1467" s="1008"/>
      <c r="AS1467" s="1008"/>
      <c r="AT1467" s="1008"/>
      <c r="AU1467" s="1008"/>
      <c r="AV1467" s="1008"/>
      <c r="AW1467" s="1008"/>
      <c r="AX1467" s="1008"/>
    </row>
    <row r="1468" spans="15:50">
      <c r="O1468" s="989"/>
      <c r="P1468" s="1008"/>
      <c r="Q1468" s="1008"/>
      <c r="R1468" s="1008"/>
      <c r="S1468" s="1008"/>
      <c r="T1468" s="1008"/>
      <c r="U1468" s="1008"/>
      <c r="V1468" s="1008"/>
      <c r="W1468" s="1008"/>
      <c r="X1468" s="1008"/>
      <c r="Y1468" s="1008"/>
      <c r="Z1468" s="1008"/>
      <c r="AA1468" s="1008"/>
      <c r="AB1468" s="1008"/>
      <c r="AC1468" s="1008"/>
      <c r="AD1468" s="1008"/>
      <c r="AE1468" s="1008"/>
      <c r="AF1468" s="1008"/>
      <c r="AG1468" s="1008"/>
      <c r="AH1468" s="1008"/>
      <c r="AI1468" s="1008"/>
      <c r="AJ1468" s="1008"/>
      <c r="AK1468" s="1008"/>
      <c r="AL1468" s="1008"/>
      <c r="AM1468" s="1008"/>
      <c r="AN1468" s="1008"/>
      <c r="AO1468" s="1008"/>
      <c r="AP1468" s="1008"/>
      <c r="AQ1468" s="1008"/>
      <c r="AR1468" s="1008"/>
      <c r="AS1468" s="1008"/>
      <c r="AT1468" s="1008"/>
      <c r="AU1468" s="1008"/>
      <c r="AV1468" s="1008"/>
      <c r="AW1468" s="1008"/>
      <c r="AX1468" s="1008"/>
    </row>
    <row r="1469" spans="15:50">
      <c r="O1469" s="989"/>
      <c r="P1469" s="1008"/>
      <c r="Q1469" s="1008"/>
      <c r="R1469" s="1008"/>
      <c r="S1469" s="1008"/>
      <c r="T1469" s="1008"/>
      <c r="U1469" s="1008"/>
      <c r="V1469" s="1008"/>
      <c r="W1469" s="1008"/>
      <c r="X1469" s="1008"/>
      <c r="Y1469" s="1008"/>
      <c r="Z1469" s="1008"/>
      <c r="AA1469" s="1008"/>
      <c r="AB1469" s="1008"/>
      <c r="AC1469" s="1008"/>
      <c r="AD1469" s="1008"/>
      <c r="AE1469" s="1008"/>
      <c r="AF1469" s="1008"/>
      <c r="AG1469" s="1008"/>
      <c r="AH1469" s="1008"/>
      <c r="AI1469" s="1008"/>
      <c r="AJ1469" s="1008"/>
      <c r="AK1469" s="1008"/>
      <c r="AL1469" s="1008"/>
      <c r="AM1469" s="1008"/>
      <c r="AN1469" s="1008"/>
      <c r="AO1469" s="1008"/>
      <c r="AP1469" s="1008"/>
      <c r="AQ1469" s="1008"/>
      <c r="AR1469" s="1008"/>
      <c r="AS1469" s="1008"/>
      <c r="AT1469" s="1008"/>
      <c r="AU1469" s="1008"/>
      <c r="AV1469" s="1008"/>
      <c r="AW1469" s="1008"/>
      <c r="AX1469" s="1008"/>
    </row>
    <row r="1470" spans="15:50">
      <c r="O1470" s="989"/>
      <c r="P1470" s="1008"/>
      <c r="Q1470" s="1008"/>
      <c r="R1470" s="1008"/>
      <c r="S1470" s="1008"/>
      <c r="T1470" s="1008"/>
      <c r="U1470" s="1008"/>
      <c r="V1470" s="1008"/>
      <c r="W1470" s="1008"/>
      <c r="X1470" s="1008"/>
      <c r="Y1470" s="1008"/>
      <c r="Z1470" s="1008"/>
      <c r="AA1470" s="1008"/>
      <c r="AB1470" s="1008"/>
      <c r="AC1470" s="1008"/>
      <c r="AD1470" s="1008"/>
      <c r="AE1470" s="1008"/>
      <c r="AF1470" s="1008"/>
      <c r="AG1470" s="1008"/>
      <c r="AH1470" s="1008"/>
      <c r="AI1470" s="1008"/>
      <c r="AJ1470" s="1008"/>
      <c r="AK1470" s="1008"/>
      <c r="AL1470" s="1008"/>
      <c r="AM1470" s="1008"/>
      <c r="AN1470" s="1008"/>
      <c r="AO1470" s="1008"/>
      <c r="AP1470" s="1008"/>
      <c r="AQ1470" s="1008"/>
      <c r="AR1470" s="1008"/>
      <c r="AS1470" s="1008"/>
      <c r="AT1470" s="1008"/>
      <c r="AU1470" s="1008"/>
      <c r="AV1470" s="1008"/>
      <c r="AW1470" s="1008"/>
      <c r="AX1470" s="1008"/>
    </row>
    <row r="1471" spans="15:50">
      <c r="O1471" s="989"/>
      <c r="P1471" s="1008"/>
      <c r="Q1471" s="1008"/>
      <c r="R1471" s="1008"/>
      <c r="S1471" s="1008"/>
      <c r="T1471" s="1008"/>
      <c r="U1471" s="1008"/>
      <c r="V1471" s="1008"/>
      <c r="W1471" s="1008"/>
      <c r="X1471" s="1008"/>
      <c r="Y1471" s="1008"/>
      <c r="Z1471" s="1008"/>
      <c r="AA1471" s="1008"/>
      <c r="AB1471" s="1008"/>
      <c r="AC1471" s="1008"/>
      <c r="AD1471" s="1008"/>
      <c r="AE1471" s="1008"/>
      <c r="AF1471" s="1008"/>
      <c r="AG1471" s="1008"/>
      <c r="AH1471" s="1008"/>
      <c r="AI1471" s="1008"/>
      <c r="AJ1471" s="1008"/>
      <c r="AK1471" s="1008"/>
      <c r="AL1471" s="1008"/>
      <c r="AM1471" s="1008"/>
      <c r="AN1471" s="1008"/>
      <c r="AO1471" s="1008"/>
      <c r="AP1471" s="1008"/>
      <c r="AQ1471" s="1008"/>
      <c r="AR1471" s="1008"/>
      <c r="AS1471" s="1008"/>
      <c r="AT1471" s="1008"/>
      <c r="AU1471" s="1008"/>
      <c r="AV1471" s="1008"/>
      <c r="AW1471" s="1008"/>
      <c r="AX1471" s="1008"/>
    </row>
  </sheetData>
  <mergeCells count="123">
    <mergeCell ref="B4:N5"/>
    <mergeCell ref="B453:N456"/>
    <mergeCell ref="B458:N461"/>
    <mergeCell ref="B484:N485"/>
    <mergeCell ref="B7:N12"/>
    <mergeCell ref="B13:N14"/>
    <mergeCell ref="B18:N19"/>
    <mergeCell ref="B21:N25"/>
    <mergeCell ref="B31:N33"/>
    <mergeCell ref="B37:N39"/>
    <mergeCell ref="H363:N363"/>
    <mergeCell ref="H331:N331"/>
    <mergeCell ref="H332:H336"/>
    <mergeCell ref="J332:J336"/>
    <mergeCell ref="L332:L336"/>
    <mergeCell ref="N332:N336"/>
    <mergeCell ref="B253:N256"/>
    <mergeCell ref="B258:E258"/>
    <mergeCell ref="B260:N262"/>
    <mergeCell ref="B248:N250"/>
    <mergeCell ref="H337:N337"/>
    <mergeCell ref="H313:N313"/>
    <mergeCell ref="H314:H316"/>
    <mergeCell ref="L239:N239"/>
    <mergeCell ref="P1326:AB1329"/>
    <mergeCell ref="J386:N386"/>
    <mergeCell ref="H364:H367"/>
    <mergeCell ref="J364:J367"/>
    <mergeCell ref="L364:L367"/>
    <mergeCell ref="N364:N367"/>
    <mergeCell ref="H368:N368"/>
    <mergeCell ref="J381:N381"/>
    <mergeCell ref="H424:N424"/>
    <mergeCell ref="H426:N426"/>
    <mergeCell ref="H436:N436"/>
    <mergeCell ref="H438:N438"/>
    <mergeCell ref="B406:N409"/>
    <mergeCell ref="B410:N413"/>
    <mergeCell ref="C414:N414"/>
    <mergeCell ref="C416:N417"/>
    <mergeCell ref="C419:N419"/>
    <mergeCell ref="B452:L452"/>
    <mergeCell ref="A487:L487"/>
    <mergeCell ref="A488:L488"/>
    <mergeCell ref="J382:J385"/>
    <mergeCell ref="L382:L385"/>
    <mergeCell ref="N382:N385"/>
    <mergeCell ref="L463:N463"/>
    <mergeCell ref="O1280:AA1283"/>
    <mergeCell ref="N314:N316"/>
    <mergeCell ref="H317:N317"/>
    <mergeCell ref="H299:N299"/>
    <mergeCell ref="H300:H302"/>
    <mergeCell ref="J300:J302"/>
    <mergeCell ref="L300:L302"/>
    <mergeCell ref="N300:N302"/>
    <mergeCell ref="H303:N303"/>
    <mergeCell ref="B449:N451"/>
    <mergeCell ref="J348:N348"/>
    <mergeCell ref="J349:J352"/>
    <mergeCell ref="L349:L352"/>
    <mergeCell ref="N349:N352"/>
    <mergeCell ref="J353:N353"/>
    <mergeCell ref="B472:N476"/>
    <mergeCell ref="L314:L316"/>
    <mergeCell ref="J314:J316"/>
    <mergeCell ref="P1198:Q1198"/>
    <mergeCell ref="R1198:S1198"/>
    <mergeCell ref="B399:N401"/>
    <mergeCell ref="B403:N405"/>
    <mergeCell ref="B421:N423"/>
    <mergeCell ref="B295:N297"/>
    <mergeCell ref="B246:D246"/>
    <mergeCell ref="B251:D251"/>
    <mergeCell ref="H68:H71"/>
    <mergeCell ref="J68:J71"/>
    <mergeCell ref="L68:L71"/>
    <mergeCell ref="B208:C208"/>
    <mergeCell ref="B209:D209"/>
    <mergeCell ref="B210:D210"/>
    <mergeCell ref="B227:C227"/>
    <mergeCell ref="D227:E227"/>
    <mergeCell ref="B202:N203"/>
    <mergeCell ref="N68:N71"/>
    <mergeCell ref="B218:N218"/>
    <mergeCell ref="B220:E220"/>
    <mergeCell ref="D222:E222"/>
    <mergeCell ref="L223:N223"/>
    <mergeCell ref="B225:C225"/>
    <mergeCell ref="B226:C226"/>
    <mergeCell ref="D120:D123"/>
    <mergeCell ref="F120:F123"/>
    <mergeCell ref="H120:H123"/>
    <mergeCell ref="J120:J123"/>
    <mergeCell ref="B266:N270"/>
    <mergeCell ref="B274:N275"/>
    <mergeCell ref="B277:N281"/>
    <mergeCell ref="B283:N287"/>
    <mergeCell ref="B289:N293"/>
    <mergeCell ref="L120:L123"/>
    <mergeCell ref="N120:N123"/>
    <mergeCell ref="D68:D71"/>
    <mergeCell ref="F68:F71"/>
    <mergeCell ref="B228:C228"/>
    <mergeCell ref="B229:C229"/>
    <mergeCell ref="B230:C230"/>
    <mergeCell ref="B234:N235"/>
    <mergeCell ref="B41:N43"/>
    <mergeCell ref="C59:N62"/>
    <mergeCell ref="L205:N205"/>
    <mergeCell ref="B207:C207"/>
    <mergeCell ref="F124:N124"/>
    <mergeCell ref="B173:N178"/>
    <mergeCell ref="B179:N180"/>
    <mergeCell ref="B183:N187"/>
    <mergeCell ref="B196:N199"/>
    <mergeCell ref="B189:N194"/>
    <mergeCell ref="C46:N49"/>
    <mergeCell ref="C53:N58"/>
    <mergeCell ref="B64:N66"/>
    <mergeCell ref="D67:N67"/>
    <mergeCell ref="F72:N72"/>
    <mergeCell ref="D118:N118"/>
  </mergeCells>
  <pageMargins left="0.63" right="0.39" top="0.5" bottom="0.25" header="0.36" footer="0.21"/>
  <pageSetup scale="75" orientation="portrait" r:id="rId1"/>
  <headerFooter alignWithMargins="0"/>
  <rowBreaks count="3" manualBreakCount="3">
    <brk id="62" max="13" man="1"/>
    <brk id="115" max="13" man="1"/>
    <brk id="262" max="13" man="1"/>
  </rowBreaks>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38:P74"/>
  <sheetViews>
    <sheetView showGridLines="0" view="pageBreakPreview" zoomScaleNormal="100" zoomScaleSheetLayoutView="100" workbookViewId="0">
      <selection activeCell="P74" sqref="P74"/>
    </sheetView>
  </sheetViews>
  <sheetFormatPr defaultColWidth="9" defaultRowHeight="12.75"/>
  <cols>
    <col min="1" max="1" width="5.75" style="84" customWidth="1"/>
    <col min="2" max="2" width="16.75" style="84" customWidth="1"/>
    <col min="3" max="3" width="24.75" style="84" customWidth="1"/>
    <col min="4" max="4" width="7.75" style="84" customWidth="1"/>
    <col min="5" max="5" width="1.625" style="84" customWidth="1"/>
    <col min="6" max="6" width="6.875" style="84" customWidth="1"/>
    <col min="7" max="7" width="1.125" style="84" customWidth="1"/>
    <col min="8" max="8" width="9" style="84" customWidth="1"/>
    <col min="9" max="9" width="1.125" style="84" customWidth="1"/>
    <col min="10" max="10" width="11.375" style="84" customWidth="1"/>
    <col min="11" max="11" width="1.125" style="84" customWidth="1"/>
    <col min="12" max="12" width="11.375" style="84" customWidth="1"/>
    <col min="13" max="13" width="11.625" style="84" customWidth="1"/>
    <col min="14" max="14" width="20.75" style="84" customWidth="1"/>
    <col min="15" max="16384" width="9" style="84"/>
  </cols>
  <sheetData>
    <row r="38" spans="1:16" s="82" customFormat="1">
      <c r="M38" s="83"/>
    </row>
    <row r="39" spans="1:16" s="82" customFormat="1">
      <c r="M39" s="83"/>
    </row>
    <row r="40" spans="1:16" s="82" customFormat="1">
      <c r="M40" s="83"/>
    </row>
    <row r="41" spans="1:16">
      <c r="M41" s="85"/>
    </row>
    <row r="42" spans="1:16">
      <c r="M42" s="86"/>
      <c r="N42" s="87"/>
    </row>
    <row r="44" spans="1:16">
      <c r="P44" s="88"/>
    </row>
    <row r="45" spans="1:16">
      <c r="A45" s="89"/>
      <c r="P45" s="88"/>
    </row>
    <row r="46" spans="1:16">
      <c r="P46" s="88"/>
    </row>
    <row r="47" spans="1:16">
      <c r="M47" s="90"/>
      <c r="P47" s="88"/>
    </row>
    <row r="48" spans="1:16">
      <c r="M48" s="91"/>
      <c r="P48" s="88"/>
    </row>
    <row r="49" spans="13:16">
      <c r="P49" s="88"/>
    </row>
    <row r="50" spans="13:16">
      <c r="M50" s="92"/>
      <c r="P50" s="88"/>
    </row>
    <row r="51" spans="13:16">
      <c r="M51" s="92"/>
      <c r="P51" s="88"/>
    </row>
    <row r="52" spans="13:16">
      <c r="M52" s="92"/>
      <c r="P52" s="88"/>
    </row>
    <row r="53" spans="13:16">
      <c r="M53" s="92"/>
      <c r="P53" s="88"/>
    </row>
    <row r="54" spans="13:16">
      <c r="M54" s="92"/>
      <c r="P54" s="88"/>
    </row>
    <row r="55" spans="13:16">
      <c r="M55" s="92"/>
      <c r="P55" s="88"/>
    </row>
    <row r="56" spans="13:16">
      <c r="M56" s="92"/>
      <c r="P56" s="88"/>
    </row>
    <row r="57" spans="13:16">
      <c r="M57" s="92"/>
      <c r="P57" s="88"/>
    </row>
    <row r="58" spans="13:16">
      <c r="M58" s="92"/>
    </row>
    <row r="59" spans="13:16">
      <c r="M59" s="92"/>
    </row>
    <row r="62" spans="13:16">
      <c r="M62" s="90"/>
    </row>
    <row r="63" spans="13:16">
      <c r="M63" s="91"/>
    </row>
    <row r="65" spans="13:13">
      <c r="M65" s="93"/>
    </row>
    <row r="66" spans="13:13">
      <c r="M66" s="93"/>
    </row>
    <row r="67" spans="13:13">
      <c r="M67" s="93"/>
    </row>
    <row r="68" spans="13:13">
      <c r="M68" s="93"/>
    </row>
    <row r="69" spans="13:13">
      <c r="M69" s="93"/>
    </row>
    <row r="70" spans="13:13">
      <c r="M70" s="93"/>
    </row>
    <row r="71" spans="13:13">
      <c r="M71" s="93"/>
    </row>
    <row r="72" spans="13:13">
      <c r="M72" s="93"/>
    </row>
    <row r="73" spans="13:13">
      <c r="M73" s="93"/>
    </row>
    <row r="74" spans="13:13">
      <c r="M74" s="93"/>
    </row>
  </sheetData>
  <pageMargins left="0.75" right="0.53" top="0.67" bottom="1" header="0.5" footer="0.5"/>
  <pageSetup scale="9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P51"/>
  <sheetViews>
    <sheetView showGridLines="0" zoomScale="110" zoomScaleNormal="110" zoomScaleSheetLayoutView="100" workbookViewId="0">
      <selection activeCell="A154" sqref="A154"/>
    </sheetView>
  </sheetViews>
  <sheetFormatPr defaultColWidth="9" defaultRowHeight="12"/>
  <cols>
    <col min="1" max="1" width="5.125" style="1793" customWidth="1"/>
    <col min="2" max="2" width="28.75" style="1727" customWidth="1"/>
    <col min="3" max="4" width="8.5" style="1727" customWidth="1"/>
    <col min="5" max="5" width="4.625" style="1727" bestFit="1" customWidth="1"/>
    <col min="6" max="7" width="8.875" style="1727" customWidth="1"/>
    <col min="8" max="8" width="0.625" style="1727" customWidth="1"/>
    <col min="9" max="9" width="7.75" style="1727" customWidth="1"/>
    <col min="10" max="10" width="6.125" style="1727" customWidth="1"/>
    <col min="11" max="11" width="5.625" style="1727" hidden="1" customWidth="1"/>
    <col min="12" max="12" width="8.75" style="1727" customWidth="1"/>
    <col min="13" max="13" width="7" style="1727" customWidth="1"/>
    <col min="14" max="16384" width="9" style="1727"/>
  </cols>
  <sheetData>
    <row r="2" spans="1:15">
      <c r="A2" s="2357"/>
      <c r="B2" s="1816"/>
    </row>
    <row r="4" spans="1:15">
      <c r="A4" s="1791"/>
      <c r="B4" s="2279"/>
    </row>
    <row r="5" spans="1:15" s="2028" customFormat="1" ht="11.25">
      <c r="A5" s="2147"/>
      <c r="C5" s="3190" t="s">
        <v>2477</v>
      </c>
      <c r="D5" s="3190"/>
      <c r="E5" s="3190"/>
      <c r="F5" s="3190"/>
      <c r="G5" s="3190"/>
      <c r="H5" s="3191"/>
      <c r="I5" s="3190"/>
      <c r="J5" s="3190"/>
      <c r="K5" s="3190"/>
      <c r="L5" s="3190"/>
      <c r="M5" s="3190"/>
    </row>
    <row r="6" spans="1:15" s="2028" customFormat="1" ht="12.75" customHeight="1">
      <c r="A6" s="2147"/>
      <c r="C6" s="3192" t="s">
        <v>2478</v>
      </c>
      <c r="D6" s="3195" t="s">
        <v>1697</v>
      </c>
      <c r="E6" s="3195" t="s">
        <v>1698</v>
      </c>
      <c r="F6" s="3195" t="s">
        <v>1699</v>
      </c>
      <c r="G6" s="3195" t="s">
        <v>2479</v>
      </c>
      <c r="H6" s="2170"/>
      <c r="I6" s="3192" t="s">
        <v>2478</v>
      </c>
      <c r="J6" s="3195" t="s">
        <v>1697</v>
      </c>
      <c r="K6" s="3195" t="s">
        <v>1698</v>
      </c>
      <c r="L6" s="3195" t="s">
        <v>1699</v>
      </c>
      <c r="M6" s="3195" t="str">
        <f>G6</f>
        <v>As at Sep 30, 2021</v>
      </c>
    </row>
    <row r="7" spans="1:15" s="2028" customFormat="1" ht="12.75">
      <c r="A7" s="2147"/>
      <c r="C7" s="3193"/>
      <c r="D7" s="3195"/>
      <c r="E7" s="3195"/>
      <c r="F7" s="3195"/>
      <c r="G7" s="3195"/>
      <c r="H7" s="2170"/>
      <c r="I7" s="3193"/>
      <c r="J7" s="3195"/>
      <c r="K7" s="3195"/>
      <c r="L7" s="3195"/>
      <c r="M7" s="3195"/>
    </row>
    <row r="8" spans="1:15" s="2028" customFormat="1" ht="12.75">
      <c r="A8" s="2147"/>
      <c r="C8" s="3193"/>
      <c r="D8" s="3195"/>
      <c r="E8" s="3195"/>
      <c r="F8" s="3195"/>
      <c r="G8" s="3195"/>
      <c r="H8" s="2170"/>
      <c r="I8" s="3193"/>
      <c r="J8" s="3195"/>
      <c r="K8" s="3195"/>
      <c r="L8" s="3195"/>
      <c r="M8" s="3195"/>
    </row>
    <row r="9" spans="1:15" s="2028" customFormat="1" ht="12.75">
      <c r="A9" s="2147"/>
      <c r="C9" s="3194"/>
      <c r="D9" s="3195"/>
      <c r="E9" s="3195"/>
      <c r="F9" s="3195"/>
      <c r="G9" s="3195"/>
      <c r="H9" s="2170"/>
      <c r="I9" s="3194"/>
      <c r="J9" s="3195"/>
      <c r="K9" s="3195"/>
      <c r="L9" s="3195"/>
      <c r="M9" s="3195"/>
      <c r="N9" s="2028" t="s">
        <v>2009</v>
      </c>
      <c r="O9" s="2028">
        <v>55.091900000000003</v>
      </c>
    </row>
    <row r="10" spans="1:15" s="2028" customFormat="1" ht="12.75">
      <c r="A10" s="2147"/>
      <c r="C10" s="3198" t="s">
        <v>1700</v>
      </c>
      <c r="D10" s="3198"/>
      <c r="E10" s="3198"/>
      <c r="F10" s="3198"/>
      <c r="G10" s="3198"/>
      <c r="H10" s="2297"/>
      <c r="I10" s="3196" t="s">
        <v>1062</v>
      </c>
      <c r="J10" s="3197"/>
      <c r="K10" s="3197"/>
      <c r="L10" s="3197"/>
      <c r="M10" s="3197"/>
      <c r="O10" s="2028">
        <v>53.151200000000003</v>
      </c>
    </row>
    <row r="11" spans="1:15" s="2028" customFormat="1" ht="11.25">
      <c r="A11" s="2147"/>
      <c r="B11" s="2164" t="s">
        <v>1701</v>
      </c>
      <c r="C11" s="2148"/>
      <c r="G11" s="2162"/>
      <c r="H11" s="2162"/>
      <c r="I11" s="2148"/>
      <c r="J11" s="2162"/>
      <c r="K11" s="2162"/>
      <c r="L11" s="2162"/>
      <c r="M11" s="2163"/>
    </row>
    <row r="12" spans="1:15" s="2028" customFormat="1" ht="11.25">
      <c r="A12" s="2147"/>
      <c r="B12" s="2028" t="s">
        <v>2170</v>
      </c>
      <c r="C12" s="2088"/>
      <c r="D12" s="2088"/>
      <c r="E12" s="2088"/>
      <c r="F12" s="2088"/>
      <c r="G12" s="2165"/>
      <c r="H12" s="2166"/>
      <c r="I12" s="2088"/>
      <c r="J12" s="2088"/>
      <c r="K12" s="2088"/>
      <c r="L12" s="2088"/>
      <c r="M12" s="2167"/>
    </row>
    <row r="13" spans="1:15" s="2028" customFormat="1" ht="11.25">
      <c r="A13" s="2147"/>
      <c r="B13" s="2139" t="s">
        <v>2171</v>
      </c>
      <c r="C13" s="2088">
        <v>50227</v>
      </c>
      <c r="D13" s="2088">
        <v>0</v>
      </c>
      <c r="E13" s="2088">
        <v>0</v>
      </c>
      <c r="F13" s="2088">
        <v>0</v>
      </c>
      <c r="G13" s="2165">
        <f>C13+D13+E13-F13</f>
        <v>50227</v>
      </c>
      <c r="H13" s="2166"/>
      <c r="I13" s="2088">
        <f>C13*BS!$H$43/1000</f>
        <v>2707.3106404999999</v>
      </c>
      <c r="J13" s="2088">
        <v>0</v>
      </c>
      <c r="K13" s="2088">
        <v>0</v>
      </c>
      <c r="L13" s="2088">
        <v>0</v>
      </c>
      <c r="M13" s="2167">
        <f>G13*BS!$F$43/1000</f>
        <v>2792.0358420615166</v>
      </c>
    </row>
    <row r="14" spans="1:15" s="2028" customFormat="1" ht="11.25">
      <c r="A14" s="2147"/>
      <c r="C14" s="2088"/>
      <c r="D14" s="2088"/>
      <c r="E14" s="2088"/>
      <c r="F14" s="2088"/>
      <c r="G14" s="2088"/>
      <c r="H14" s="2088"/>
      <c r="I14" s="2088"/>
      <c r="J14" s="2088"/>
      <c r="K14" s="2088"/>
      <c r="L14" s="2088"/>
      <c r="M14" s="2088"/>
    </row>
    <row r="15" spans="1:15" s="2028" customFormat="1" ht="11.25">
      <c r="A15" s="2147"/>
      <c r="B15" s="2164" t="s">
        <v>2172</v>
      </c>
      <c r="C15" s="2088"/>
      <c r="D15" s="2088"/>
      <c r="E15" s="2088"/>
      <c r="F15" s="2088"/>
      <c r="G15" s="2088"/>
      <c r="H15" s="2088"/>
      <c r="I15" s="2088"/>
      <c r="J15" s="2088"/>
      <c r="K15" s="2088"/>
      <c r="L15" s="2088"/>
      <c r="M15" s="2088"/>
    </row>
    <row r="16" spans="1:15" s="2028" customFormat="1" ht="11.25">
      <c r="A16" s="2147"/>
      <c r="B16" s="2358" t="s">
        <v>2173</v>
      </c>
      <c r="C16" s="2088">
        <v>0</v>
      </c>
      <c r="D16" s="2088">
        <v>0</v>
      </c>
      <c r="E16" s="2088">
        <v>0</v>
      </c>
      <c r="F16" s="2088">
        <v>0</v>
      </c>
      <c r="G16" s="2165">
        <f>C16+D16+E16-F16</f>
        <v>0</v>
      </c>
      <c r="H16" s="2088"/>
      <c r="I16" s="2088">
        <f>C16*BS!$H$43/1000</f>
        <v>0</v>
      </c>
      <c r="J16" s="2463">
        <v>0</v>
      </c>
      <c r="K16" s="2463">
        <v>0</v>
      </c>
      <c r="L16" s="2463">
        <v>0</v>
      </c>
      <c r="M16" s="2167">
        <f>G16*BS!$F$43/1000</f>
        <v>0</v>
      </c>
    </row>
    <row r="17" spans="1:13" s="2028" customFormat="1" ht="11.25">
      <c r="A17" s="2147"/>
      <c r="B17" s="2358"/>
      <c r="C17" s="2088"/>
      <c r="D17" s="2088"/>
      <c r="E17" s="2088"/>
      <c r="F17" s="2088"/>
      <c r="G17" s="2165"/>
      <c r="H17" s="2088"/>
      <c r="I17" s="2463"/>
      <c r="J17" s="2463"/>
      <c r="K17" s="2463"/>
      <c r="L17" s="2463"/>
      <c r="M17" s="2779"/>
    </row>
    <row r="18" spans="1:13" s="2028" customFormat="1" ht="11.25">
      <c r="A18" s="2147"/>
      <c r="B18" s="2060" t="s">
        <v>2531</v>
      </c>
      <c r="C18" s="2088">
        <v>29275</v>
      </c>
      <c r="D18" s="2088">
        <v>40945</v>
      </c>
      <c r="E18" s="2088">
        <v>0</v>
      </c>
      <c r="F18" s="2088">
        <v>70220</v>
      </c>
      <c r="G18" s="2165">
        <f>C18+D18+E18-F18</f>
        <v>0</v>
      </c>
      <c r="H18" s="2088"/>
      <c r="I18" s="2088">
        <f>C18*BS!$H$43/1000</f>
        <v>1577.9664124999999</v>
      </c>
      <c r="J18" s="2463">
        <v>2246</v>
      </c>
      <c r="K18" s="2463"/>
      <c r="L18" s="2463">
        <v>3878</v>
      </c>
      <c r="M18" s="2167">
        <f>G18*BS!$F$43/1000</f>
        <v>0</v>
      </c>
    </row>
    <row r="19" spans="1:13" s="2028" customFormat="1" ht="11.25">
      <c r="A19" s="2147"/>
      <c r="C19" s="2088"/>
      <c r="D19" s="2088"/>
      <c r="E19" s="2088"/>
      <c r="F19" s="2088"/>
      <c r="G19" s="2088"/>
      <c r="H19" s="2088"/>
      <c r="I19" s="2088"/>
      <c r="J19" s="2088"/>
      <c r="K19" s="2088"/>
      <c r="L19" s="2088"/>
      <c r="M19" s="2088"/>
    </row>
    <row r="20" spans="1:13" s="2028" customFormat="1" ht="11.25">
      <c r="A20" s="2147"/>
      <c r="B20" s="2205" t="s">
        <v>1703</v>
      </c>
      <c r="C20" s="2088">
        <v>2031021</v>
      </c>
      <c r="D20" s="2088">
        <v>0</v>
      </c>
      <c r="E20" s="2088">
        <v>0</v>
      </c>
      <c r="F20" s="2088">
        <v>0</v>
      </c>
      <c r="G20" s="2165">
        <f>C20+D20+E20-F20</f>
        <v>2031021</v>
      </c>
      <c r="H20" s="2088"/>
      <c r="I20" s="2088">
        <f>C20*BS!$H$43/1000</f>
        <v>109475.07843150001</v>
      </c>
      <c r="J20" s="2088">
        <v>0</v>
      </c>
      <c r="K20" s="2088">
        <v>0</v>
      </c>
      <c r="L20" s="2088">
        <v>0</v>
      </c>
      <c r="M20" s="2167">
        <f>G20*BS!$F$43/1000</f>
        <v>112901.09757659472</v>
      </c>
    </row>
    <row r="21" spans="1:13" s="2028" customFormat="1" ht="11.25">
      <c r="A21" s="2147"/>
      <c r="C21" s="2088"/>
      <c r="D21" s="2088"/>
      <c r="E21" s="2088"/>
      <c r="F21" s="2088"/>
      <c r="G21" s="2165"/>
      <c r="H21" s="2166"/>
      <c r="I21" s="2463"/>
      <c r="J21" s="2088"/>
      <c r="K21" s="2088"/>
      <c r="L21" s="2088"/>
      <c r="M21" s="2088">
        <f>(G21*$O$9)/1000</f>
        <v>0</v>
      </c>
    </row>
    <row r="22" spans="1:13" s="2028" customFormat="1" ht="11.25">
      <c r="A22" s="2147"/>
      <c r="G22" s="2168"/>
      <c r="H22" s="2169"/>
      <c r="I22" s="2169"/>
      <c r="J22" s="2169"/>
      <c r="K22" s="2169"/>
      <c r="L22" s="2169"/>
      <c r="M22" s="2149"/>
    </row>
    <row r="23" spans="1:13" s="2028" customFormat="1" ht="11.25">
      <c r="A23" s="2147"/>
      <c r="B23" s="2164"/>
      <c r="G23" s="2164"/>
    </row>
    <row r="24" spans="1:13" s="2028" customFormat="1" ht="11.25">
      <c r="A24" s="2147"/>
      <c r="C24" s="3190" t="s">
        <v>2282</v>
      </c>
      <c r="D24" s="3190"/>
      <c r="E24" s="3190"/>
      <c r="F24" s="3190"/>
      <c r="G24" s="3190"/>
      <c r="H24" s="3191"/>
      <c r="I24" s="3190"/>
      <c r="J24" s="3190"/>
      <c r="K24" s="3190"/>
      <c r="L24" s="3190"/>
      <c r="M24" s="3190"/>
    </row>
    <row r="25" spans="1:13" s="2028" customFormat="1" ht="12.75" customHeight="1">
      <c r="A25" s="2147"/>
      <c r="C25" s="3192" t="s">
        <v>2283</v>
      </c>
      <c r="D25" s="3195" t="s">
        <v>1697</v>
      </c>
      <c r="E25" s="3195" t="s">
        <v>1698</v>
      </c>
      <c r="F25" s="3195" t="s">
        <v>1699</v>
      </c>
      <c r="G25" s="3195" t="s">
        <v>2281</v>
      </c>
      <c r="H25" s="2170"/>
      <c r="I25" s="3195" t="s">
        <v>2283</v>
      </c>
      <c r="J25" s="3195" t="s">
        <v>1697</v>
      </c>
      <c r="K25" s="3195" t="s">
        <v>1698</v>
      </c>
      <c r="L25" s="3195" t="s">
        <v>1699</v>
      </c>
      <c r="M25" s="3195" t="str">
        <f>G25</f>
        <v>As at Sep 30, 2020</v>
      </c>
    </row>
    <row r="26" spans="1:13" s="2028" customFormat="1" ht="12.75">
      <c r="A26" s="2147"/>
      <c r="C26" s="3193"/>
      <c r="D26" s="3195"/>
      <c r="E26" s="3195"/>
      <c r="F26" s="3195"/>
      <c r="G26" s="3195"/>
      <c r="H26" s="2170"/>
      <c r="I26" s="3195"/>
      <c r="J26" s="3195"/>
      <c r="K26" s="3195"/>
      <c r="L26" s="3195"/>
      <c r="M26" s="3195"/>
    </row>
    <row r="27" spans="1:13" s="2028" customFormat="1" ht="12.75">
      <c r="A27" s="2147"/>
      <c r="C27" s="3193"/>
      <c r="D27" s="3195"/>
      <c r="E27" s="3195"/>
      <c r="F27" s="3195"/>
      <c r="G27" s="3195"/>
      <c r="H27" s="2170"/>
      <c r="I27" s="3195"/>
      <c r="J27" s="3195"/>
      <c r="K27" s="3195"/>
      <c r="L27" s="3195"/>
      <c r="M27" s="3195"/>
    </row>
    <row r="28" spans="1:13" s="2028" customFormat="1" ht="12.75">
      <c r="A28" s="2147"/>
      <c r="C28" s="3194"/>
      <c r="D28" s="3195"/>
      <c r="E28" s="3195"/>
      <c r="F28" s="3195"/>
      <c r="G28" s="3195"/>
      <c r="H28" s="2170"/>
      <c r="I28" s="3195"/>
      <c r="J28" s="3195"/>
      <c r="K28" s="3195"/>
      <c r="L28" s="3195"/>
      <c r="M28" s="3195"/>
    </row>
    <row r="29" spans="1:13" s="2028" customFormat="1" ht="12.75">
      <c r="A29" s="2147"/>
      <c r="C29" s="3198" t="s">
        <v>1700</v>
      </c>
      <c r="D29" s="3198"/>
      <c r="E29" s="3198"/>
      <c r="F29" s="3198"/>
      <c r="G29" s="3198"/>
      <c r="H29" s="2297"/>
      <c r="I29" s="3196" t="s">
        <v>1062</v>
      </c>
      <c r="J29" s="3197"/>
      <c r="K29" s="3197"/>
      <c r="L29" s="3197"/>
      <c r="M29" s="3197"/>
    </row>
    <row r="30" spans="1:13" s="2028" customFormat="1" ht="11.25">
      <c r="A30" s="2147"/>
      <c r="B30" s="2164" t="s">
        <v>1701</v>
      </c>
      <c r="C30" s="2148"/>
      <c r="G30" s="2162"/>
      <c r="H30" s="2162"/>
      <c r="I30" s="2148"/>
      <c r="J30" s="2162"/>
      <c r="K30" s="2162"/>
      <c r="L30" s="2162"/>
      <c r="M30" s="2163"/>
    </row>
    <row r="31" spans="1:13" s="2028" customFormat="1" ht="11.25">
      <c r="A31" s="2147"/>
      <c r="B31" s="2028" t="s">
        <v>2170</v>
      </c>
      <c r="C31" s="2088"/>
      <c r="D31" s="2088"/>
      <c r="E31" s="2088"/>
      <c r="F31" s="2088"/>
      <c r="G31" s="2165"/>
      <c r="H31" s="2166"/>
      <c r="I31" s="2088"/>
      <c r="J31" s="2088"/>
      <c r="K31" s="2088"/>
      <c r="L31" s="2088"/>
      <c r="M31" s="2167"/>
    </row>
    <row r="32" spans="1:13" s="2028" customFormat="1" ht="11.25">
      <c r="A32" s="2147"/>
      <c r="B32" s="2139" t="s">
        <v>2171</v>
      </c>
      <c r="C32" s="2088">
        <v>46809.643700000001</v>
      </c>
      <c r="D32" s="2088">
        <v>0</v>
      </c>
      <c r="E32" s="2088">
        <v>0</v>
      </c>
      <c r="F32" s="2088">
        <v>0</v>
      </c>
      <c r="G32" s="2165">
        <f>C32+D32+E32-F32</f>
        <v>46809.643700000001</v>
      </c>
      <c r="H32" s="2166"/>
      <c r="I32" s="2088">
        <f>C32*BS!$H$43/1000</f>
        <v>2523.1100098955499</v>
      </c>
      <c r="J32" s="2088">
        <v>0</v>
      </c>
      <c r="K32" s="2088">
        <v>0</v>
      </c>
      <c r="L32" s="2088">
        <v>0</v>
      </c>
      <c r="M32" s="2167">
        <f>G32*BS!$F$43/1000</f>
        <v>2602.0706585009871</v>
      </c>
    </row>
    <row r="33" spans="1:16" s="2028" customFormat="1" ht="11.25">
      <c r="A33" s="2147"/>
      <c r="C33" s="2088"/>
      <c r="D33" s="2088"/>
      <c r="E33" s="2088"/>
      <c r="F33" s="2088"/>
      <c r="G33" s="2088"/>
      <c r="H33" s="2088"/>
      <c r="I33" s="2088"/>
      <c r="J33" s="2088"/>
      <c r="K33" s="2088"/>
      <c r="L33" s="2088"/>
      <c r="M33" s="2088"/>
    </row>
    <row r="34" spans="1:16" s="2028" customFormat="1" ht="11.25">
      <c r="A34" s="2147"/>
      <c r="B34" s="2164" t="s">
        <v>2172</v>
      </c>
      <c r="C34" s="2088"/>
      <c r="D34" s="2088"/>
      <c r="E34" s="2088"/>
      <c r="F34" s="2088"/>
      <c r="G34" s="2088"/>
      <c r="H34" s="2088"/>
      <c r="I34" s="2088"/>
      <c r="J34" s="2088"/>
      <c r="K34" s="2088"/>
      <c r="L34" s="2088"/>
      <c r="M34" s="2088"/>
    </row>
    <row r="35" spans="1:16" s="2028" customFormat="1" ht="11.25">
      <c r="A35" s="2147"/>
      <c r="B35" s="2358" t="s">
        <v>2173</v>
      </c>
      <c r="C35" s="2088">
        <v>8</v>
      </c>
      <c r="D35" s="2088">
        <v>0</v>
      </c>
      <c r="E35" s="2088">
        <v>0</v>
      </c>
      <c r="F35" s="2088">
        <v>0</v>
      </c>
      <c r="G35" s="2165">
        <f>C35+D35+E35-F35</f>
        <v>8</v>
      </c>
      <c r="H35" s="2088"/>
      <c r="I35" s="2463">
        <v>1</v>
      </c>
      <c r="J35" s="2463">
        <v>0</v>
      </c>
      <c r="K35" s="2463">
        <v>0</v>
      </c>
      <c r="L35" s="2463">
        <v>0</v>
      </c>
      <c r="M35" s="2779">
        <v>1</v>
      </c>
    </row>
    <row r="36" spans="1:16" s="2028" customFormat="1" ht="11.25">
      <c r="A36" s="2147"/>
      <c r="C36" s="2088"/>
      <c r="D36" s="2088"/>
      <c r="E36" s="2088"/>
      <c r="F36" s="2088"/>
      <c r="G36" s="2088"/>
      <c r="H36" s="2088"/>
      <c r="I36" s="2088"/>
      <c r="J36" s="2088"/>
      <c r="K36" s="2088"/>
      <c r="L36" s="2088"/>
      <c r="M36" s="2088"/>
    </row>
    <row r="37" spans="1:16" s="2028" customFormat="1" ht="11.25">
      <c r="A37" s="2147"/>
      <c r="B37" s="2205" t="s">
        <v>1703</v>
      </c>
      <c r="C37" s="2088">
        <v>1892803.5921</v>
      </c>
      <c r="D37" s="2088">
        <v>0</v>
      </c>
      <c r="E37" s="2088">
        <v>0</v>
      </c>
      <c r="F37" s="2088">
        <v>0</v>
      </c>
      <c r="G37" s="2165">
        <f>C37+D37+E37-F37</f>
        <v>1892803.5921</v>
      </c>
      <c r="H37" s="2088"/>
      <c r="I37" s="2088">
        <f>C37*BS!$H$43/1000</f>
        <v>102024.95281957815</v>
      </c>
      <c r="J37" s="2088">
        <v>0</v>
      </c>
      <c r="K37" s="2088">
        <v>0</v>
      </c>
      <c r="L37" s="2088">
        <v>0</v>
      </c>
      <c r="M37" s="2167">
        <f>G37*BS!$F$43/1000</f>
        <v>105217.82051737088</v>
      </c>
    </row>
    <row r="38" spans="1:16" s="2028" customFormat="1" ht="11.25">
      <c r="A38" s="2147"/>
      <c r="C38" s="2088"/>
      <c r="D38" s="2088"/>
      <c r="E38" s="2088"/>
      <c r="F38" s="2088"/>
      <c r="G38" s="2165"/>
      <c r="H38" s="2166"/>
      <c r="I38" s="2463"/>
      <c r="J38" s="2088"/>
      <c r="K38" s="2088"/>
      <c r="L38" s="2088"/>
      <c r="M38" s="2088">
        <f>(G38*$O$9)/1000</f>
        <v>0</v>
      </c>
    </row>
    <row r="39" spans="1:16" s="2028" customFormat="1" ht="11.25">
      <c r="A39" s="2147"/>
      <c r="B39" s="2112"/>
      <c r="C39" s="2116"/>
      <c r="D39" s="2116"/>
      <c r="E39" s="2116"/>
      <c r="F39" s="2116"/>
      <c r="G39" s="2088"/>
      <c r="H39" s="2088"/>
      <c r="I39" s="2088"/>
      <c r="J39" s="2088"/>
      <c r="K39" s="2088"/>
      <c r="L39" s="2088"/>
      <c r="M39" s="2088"/>
    </row>
    <row r="40" spans="1:16" s="2193" customFormat="1" ht="11.25">
      <c r="B40" s="2194"/>
      <c r="C40" s="2195"/>
      <c r="D40" s="2195"/>
      <c r="E40" s="2195"/>
      <c r="F40" s="2196"/>
      <c r="G40" s="2195"/>
      <c r="H40" s="2197"/>
      <c r="I40" s="2195"/>
      <c r="J40" s="2195"/>
      <c r="K40" s="2195"/>
      <c r="L40" s="2197"/>
      <c r="M40" s="2198"/>
      <c r="O40" s="2199"/>
      <c r="P40" s="2200"/>
    </row>
    <row r="41" spans="1:16" s="2193" customFormat="1" ht="11.25">
      <c r="B41" s="2201" t="s">
        <v>2165</v>
      </c>
      <c r="C41" s="2195"/>
      <c r="D41" s="2195"/>
      <c r="E41" s="2195"/>
      <c r="F41" s="2196"/>
      <c r="G41" s="2195"/>
      <c r="H41" s="2197"/>
      <c r="I41" s="2195"/>
      <c r="J41" s="2195"/>
      <c r="K41" s="2195"/>
      <c r="L41" s="2197"/>
      <c r="M41" s="2198"/>
      <c r="O41" s="2199"/>
      <c r="P41" s="2200"/>
    </row>
    <row r="42" spans="1:16" s="2193" customFormat="1" ht="11.25">
      <c r="B42" s="2194"/>
      <c r="C42" s="2195"/>
      <c r="D42" s="2195"/>
      <c r="E42" s="2195"/>
      <c r="F42" s="2196"/>
      <c r="G42" s="2195"/>
      <c r="H42" s="2197"/>
      <c r="I42" s="2195"/>
      <c r="J42" s="2195"/>
      <c r="K42" s="2195"/>
      <c r="L42" s="2197"/>
      <c r="M42" s="2198"/>
      <c r="O42" s="2199"/>
      <c r="P42" s="2200"/>
    </row>
    <row r="43" spans="1:16" s="2193" customFormat="1" ht="11.25">
      <c r="B43" s="2194"/>
      <c r="C43" s="2195"/>
      <c r="D43" s="2195"/>
      <c r="E43" s="2195"/>
      <c r="F43" s="2196"/>
      <c r="G43" s="2195"/>
      <c r="H43" s="2197"/>
      <c r="I43" s="2195"/>
      <c r="J43" s="2195"/>
      <c r="K43" s="2195"/>
      <c r="L43" s="2197"/>
      <c r="M43" s="2198"/>
      <c r="O43" s="2199"/>
      <c r="P43" s="2200"/>
    </row>
    <row r="44" spans="1:16" s="2193" customFormat="1" ht="11.25">
      <c r="B44" s="2194"/>
      <c r="C44" s="2195"/>
      <c r="D44" s="2195"/>
      <c r="E44" s="2195"/>
      <c r="F44" s="2196"/>
      <c r="G44" s="2195"/>
      <c r="H44" s="2197"/>
      <c r="I44" s="2195"/>
      <c r="J44" s="2195"/>
      <c r="K44" s="2195"/>
      <c r="L44" s="2197"/>
      <c r="M44" s="2198"/>
      <c r="O44" s="2199"/>
      <c r="P44" s="2200"/>
    </row>
    <row r="45" spans="1:16" s="2193" customFormat="1" ht="11.25">
      <c r="B45" s="2194"/>
      <c r="C45" s="2195"/>
      <c r="D45" s="2195"/>
      <c r="E45" s="2195"/>
      <c r="F45" s="2196"/>
      <c r="G45" s="2195"/>
      <c r="H45" s="2197"/>
      <c r="I45" s="2195"/>
      <c r="J45" s="2195"/>
      <c r="K45" s="2195"/>
      <c r="L45" s="2197"/>
      <c r="M45" s="2198"/>
      <c r="O45" s="2199"/>
      <c r="P45" s="2200"/>
    </row>
    <row r="46" spans="1:16" s="2193" customFormat="1" ht="11.25">
      <c r="B46" s="2194"/>
      <c r="C46" s="2195"/>
      <c r="D46" s="2195"/>
      <c r="E46" s="2195"/>
      <c r="F46" s="2196"/>
      <c r="G46" s="2195"/>
      <c r="H46" s="2197"/>
      <c r="I46" s="2195"/>
      <c r="J46" s="2195"/>
      <c r="K46" s="2195"/>
      <c r="L46" s="2197"/>
      <c r="M46" s="2198"/>
      <c r="O46" s="2199"/>
      <c r="P46" s="2200"/>
    </row>
    <row r="47" spans="1:16" ht="12.75" customHeight="1">
      <c r="B47" s="1675"/>
      <c r="G47" s="1747"/>
      <c r="H47" s="1926"/>
      <c r="I47" s="1926"/>
      <c r="J47" s="1926"/>
      <c r="K47" s="1926"/>
      <c r="L47" s="1926"/>
      <c r="M47" s="1926"/>
    </row>
    <row r="48" spans="1:16" ht="12.75">
      <c r="C48" s="2419"/>
      <c r="D48" s="1742"/>
      <c r="E48" s="1742"/>
      <c r="F48" s="1742"/>
      <c r="G48" s="2420"/>
      <c r="H48" s="1997"/>
      <c r="I48" s="2419"/>
      <c r="J48" s="2419"/>
      <c r="K48" s="1742"/>
      <c r="L48" s="1742"/>
      <c r="M48" s="1728"/>
    </row>
    <row r="49" spans="2:13" ht="12.75" customHeight="1">
      <c r="B49" s="1820"/>
      <c r="C49" s="1613"/>
      <c r="G49" s="1998"/>
      <c r="H49" s="1938"/>
      <c r="I49" s="1938"/>
      <c r="J49" s="2421"/>
      <c r="K49" s="1938"/>
      <c r="L49" s="1938"/>
      <c r="M49" s="1728"/>
    </row>
    <row r="50" spans="2:13">
      <c r="C50" s="1613"/>
      <c r="D50" s="1613"/>
      <c r="G50" s="1613"/>
      <c r="I50" s="1613"/>
      <c r="L50" s="1613"/>
    </row>
    <row r="51" spans="2:13">
      <c r="I51" s="1613"/>
    </row>
  </sheetData>
  <mergeCells count="26">
    <mergeCell ref="I29:M29"/>
    <mergeCell ref="C29:G29"/>
    <mergeCell ref="C10:G10"/>
    <mergeCell ref="C24:M24"/>
    <mergeCell ref="C25:C28"/>
    <mergeCell ref="D25:D28"/>
    <mergeCell ref="E25:E28"/>
    <mergeCell ref="F25:F28"/>
    <mergeCell ref="G25:G28"/>
    <mergeCell ref="I25:I28"/>
    <mergeCell ref="J25:J28"/>
    <mergeCell ref="K25:K28"/>
    <mergeCell ref="L25:L28"/>
    <mergeCell ref="M25:M28"/>
    <mergeCell ref="I10:M10"/>
    <mergeCell ref="C5:M5"/>
    <mergeCell ref="C6:C9"/>
    <mergeCell ref="D6:D9"/>
    <mergeCell ref="E6:E9"/>
    <mergeCell ref="F6:F9"/>
    <mergeCell ref="G6:G9"/>
    <mergeCell ref="I6:I9"/>
    <mergeCell ref="J6:J9"/>
    <mergeCell ref="K6:K9"/>
    <mergeCell ref="L6:L9"/>
    <mergeCell ref="M6:M9"/>
  </mergeCells>
  <printOptions horizontalCentered="1"/>
  <pageMargins left="0.75" right="0.5" top="0.5" bottom="0.4" header="0.54" footer="0.2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workbookViewId="0">
      <selection activeCell="N84" sqref="N84:N85"/>
    </sheetView>
  </sheetViews>
  <sheetFormatPr defaultColWidth="9" defaultRowHeight="15.75"/>
  <cols>
    <col min="1" max="2" width="9" style="2790"/>
    <col min="3" max="3" width="44.25" style="2790" customWidth="1"/>
    <col min="4" max="16384" width="9" style="2790"/>
  </cols>
  <sheetData>
    <row r="1" spans="1:14" ht="27">
      <c r="A1" s="2780" t="s">
        <v>2408</v>
      </c>
      <c r="B1" s="2788"/>
      <c r="C1" s="2780" t="s">
        <v>671</v>
      </c>
      <c r="D1" s="2788"/>
      <c r="E1" s="2780" t="s">
        <v>2409</v>
      </c>
      <c r="F1" s="2788"/>
      <c r="G1" s="2789"/>
      <c r="H1" s="2789"/>
      <c r="I1" s="2789"/>
      <c r="J1" s="2789"/>
      <c r="K1" s="2789"/>
      <c r="L1" s="2789"/>
      <c r="M1" s="2789"/>
      <c r="N1" s="2789"/>
    </row>
    <row r="2" spans="1:14">
      <c r="A2" s="2783"/>
      <c r="B2" s="2783"/>
      <c r="C2" s="2783"/>
      <c r="D2" s="2783"/>
      <c r="E2" s="2783"/>
      <c r="F2" s="2783"/>
      <c r="G2" s="2783"/>
      <c r="H2" s="2783"/>
      <c r="I2" s="2783"/>
      <c r="J2" s="2783"/>
      <c r="K2" s="2783"/>
      <c r="L2" s="2783"/>
      <c r="M2" s="2783"/>
      <c r="N2" s="2789"/>
    </row>
    <row r="3" spans="1:14">
      <c r="A3" s="2791"/>
      <c r="B3" s="2789"/>
      <c r="C3" s="2789"/>
      <c r="D3" s="2789"/>
      <c r="E3" s="2789"/>
      <c r="F3" s="2789"/>
      <c r="G3" s="2789"/>
      <c r="H3" s="3200" t="s">
        <v>2410</v>
      </c>
      <c r="I3" s="3200"/>
      <c r="J3" s="2783"/>
      <c r="K3" s="3201">
        <v>0</v>
      </c>
      <c r="L3" s="3201"/>
      <c r="M3" s="2783"/>
      <c r="N3" s="3199"/>
    </row>
    <row r="4" spans="1:14">
      <c r="A4" s="2789"/>
      <c r="B4" s="2789"/>
      <c r="C4" s="2789"/>
      <c r="D4" s="2789"/>
      <c r="E4" s="2789"/>
      <c r="F4" s="2789"/>
      <c r="G4" s="2789"/>
      <c r="H4" s="2783"/>
      <c r="I4" s="2783"/>
      <c r="J4" s="2783"/>
      <c r="K4" s="3201"/>
      <c r="L4" s="3201"/>
      <c r="M4" s="2789"/>
      <c r="N4" s="3199"/>
    </row>
    <row r="5" spans="1:14">
      <c r="A5" s="2785">
        <v>2393</v>
      </c>
      <c r="B5" s="2783"/>
      <c r="C5" s="3202" t="s">
        <v>2439</v>
      </c>
      <c r="D5" s="3202"/>
      <c r="E5" s="3202"/>
      <c r="F5" s="3202"/>
      <c r="G5" s="3202"/>
      <c r="H5" s="3202"/>
      <c r="I5" s="3202"/>
      <c r="J5" s="2783"/>
      <c r="K5" s="2783"/>
      <c r="L5" s="2783"/>
      <c r="M5" s="2783"/>
      <c r="N5" s="2789"/>
    </row>
    <row r="6" spans="1:14">
      <c r="A6" s="2783"/>
      <c r="B6" s="2783"/>
      <c r="C6" s="2783"/>
      <c r="D6" s="2783"/>
      <c r="E6" s="2783"/>
      <c r="F6" s="2783"/>
      <c r="G6" s="2783"/>
      <c r="H6" s="2783"/>
      <c r="I6" s="2783"/>
      <c r="J6" s="2783"/>
      <c r="K6" s="2783"/>
      <c r="L6" s="2783"/>
      <c r="M6" s="2783"/>
      <c r="N6" s="2789"/>
    </row>
    <row r="7" spans="1:14">
      <c r="A7" s="3203"/>
      <c r="B7" s="3203"/>
      <c r="C7" s="3203"/>
      <c r="D7" s="2786"/>
      <c r="E7" s="2786"/>
      <c r="F7" s="2786"/>
      <c r="G7" s="2786"/>
      <c r="H7" s="3204"/>
      <c r="I7" s="3204"/>
      <c r="J7" s="3204"/>
      <c r="K7" s="2786"/>
      <c r="L7" s="2787"/>
      <c r="M7" s="2786"/>
      <c r="N7" s="2789"/>
    </row>
    <row r="8" spans="1:14">
      <c r="A8" s="2791"/>
      <c r="B8" s="2791"/>
      <c r="C8" s="2791"/>
      <c r="D8" s="2791"/>
      <c r="E8" s="3200" t="s">
        <v>2412</v>
      </c>
      <c r="F8" s="3200"/>
      <c r="G8" s="2791"/>
      <c r="H8" s="3201">
        <v>0</v>
      </c>
      <c r="I8" s="3201"/>
      <c r="J8" s="3201"/>
      <c r="K8" s="2783"/>
      <c r="L8" s="3201">
        <v>0</v>
      </c>
      <c r="M8" s="2783"/>
      <c r="N8" s="2789"/>
    </row>
    <row r="9" spans="1:14">
      <c r="A9" s="2791"/>
      <c r="B9" s="2791"/>
      <c r="C9" s="2791"/>
      <c r="D9" s="2791"/>
      <c r="E9" s="2791"/>
      <c r="F9" s="2791"/>
      <c r="G9" s="2791"/>
      <c r="H9" s="3201"/>
      <c r="I9" s="3201"/>
      <c r="J9" s="3201"/>
      <c r="K9" s="2783"/>
      <c r="L9" s="3201"/>
      <c r="M9" s="2783"/>
      <c r="N9" s="2789"/>
    </row>
    <row r="10" spans="1:14" ht="27">
      <c r="A10" s="2780" t="s">
        <v>2408</v>
      </c>
      <c r="B10" s="2788"/>
      <c r="C10" s="2780" t="s">
        <v>671</v>
      </c>
      <c r="D10" s="2788"/>
      <c r="E10" s="2780" t="s">
        <v>2409</v>
      </c>
      <c r="F10" s="2788"/>
      <c r="G10" s="2789"/>
      <c r="H10" s="2789"/>
      <c r="I10" s="2789"/>
      <c r="J10" s="2789"/>
      <c r="K10" s="2789"/>
      <c r="L10" s="2789"/>
      <c r="M10" s="2789"/>
      <c r="N10" s="2789"/>
    </row>
    <row r="11" spans="1:14">
      <c r="A11" s="2783"/>
      <c r="B11" s="2783"/>
      <c r="C11" s="2783"/>
      <c r="D11" s="2783"/>
      <c r="E11" s="2783"/>
      <c r="F11" s="2783"/>
      <c r="G11" s="2783"/>
      <c r="H11" s="2783"/>
      <c r="I11" s="2783"/>
      <c r="J11" s="2783"/>
      <c r="K11" s="2783"/>
      <c r="L11" s="2783"/>
      <c r="M11" s="2783"/>
      <c r="N11" s="2789"/>
    </row>
    <row r="12" spans="1:14">
      <c r="A12" s="2791"/>
      <c r="B12" s="2789"/>
      <c r="C12" s="2789"/>
      <c r="D12" s="2789"/>
      <c r="E12" s="2789"/>
      <c r="F12" s="2789"/>
      <c r="G12" s="2789"/>
      <c r="H12" s="3200" t="s">
        <v>2410</v>
      </c>
      <c r="I12" s="3200"/>
      <c r="J12" s="2783"/>
      <c r="K12" s="3201">
        <v>0</v>
      </c>
      <c r="L12" s="3201"/>
      <c r="M12" s="2783"/>
      <c r="N12" s="3199"/>
    </row>
    <row r="13" spans="1:14">
      <c r="A13" s="2789"/>
      <c r="B13" s="2789"/>
      <c r="C13" s="2789"/>
      <c r="D13" s="2789"/>
      <c r="E13" s="2789"/>
      <c r="F13" s="2789"/>
      <c r="G13" s="2789"/>
      <c r="H13" s="2783"/>
      <c r="I13" s="2783"/>
      <c r="J13" s="2783"/>
      <c r="K13" s="3201"/>
      <c r="L13" s="3201"/>
      <c r="M13" s="2789"/>
      <c r="N13" s="3199"/>
    </row>
    <row r="14" spans="1:14">
      <c r="A14" s="2785">
        <v>2802</v>
      </c>
      <c r="B14" s="2783"/>
      <c r="C14" s="3202" t="s">
        <v>2440</v>
      </c>
      <c r="D14" s="3202"/>
      <c r="E14" s="3202"/>
      <c r="F14" s="3202"/>
      <c r="G14" s="3202"/>
      <c r="H14" s="3202"/>
      <c r="I14" s="3202"/>
      <c r="J14" s="2783"/>
      <c r="K14" s="2783"/>
      <c r="L14" s="2783"/>
      <c r="M14" s="2783"/>
      <c r="N14" s="2789"/>
    </row>
    <row r="15" spans="1:14">
      <c r="A15" s="2783"/>
      <c r="B15" s="2783"/>
      <c r="C15" s="2783"/>
      <c r="D15" s="2783"/>
      <c r="E15" s="2783"/>
      <c r="F15" s="2783"/>
      <c r="G15" s="2783"/>
      <c r="H15" s="2783"/>
      <c r="I15" s="2783"/>
      <c r="J15" s="2783"/>
      <c r="K15" s="2783"/>
      <c r="L15" s="2783"/>
      <c r="M15" s="2783"/>
      <c r="N15" s="2789"/>
    </row>
    <row r="16" spans="1:14">
      <c r="A16" s="3203"/>
      <c r="B16" s="3203"/>
      <c r="C16" s="3203"/>
      <c r="D16" s="2786"/>
      <c r="E16" s="2786"/>
      <c r="F16" s="2786"/>
      <c r="G16" s="2786"/>
      <c r="H16" s="3204"/>
      <c r="I16" s="3204"/>
      <c r="J16" s="3204"/>
      <c r="K16" s="2786"/>
      <c r="L16" s="2787"/>
      <c r="M16" s="2786"/>
      <c r="N16" s="2789"/>
    </row>
    <row r="17" spans="1:14">
      <c r="A17" s="2791"/>
      <c r="B17" s="2791"/>
      <c r="C17" s="2791"/>
      <c r="D17" s="2791"/>
      <c r="E17" s="3200" t="s">
        <v>2412</v>
      </c>
      <c r="F17" s="3200"/>
      <c r="G17" s="2791"/>
      <c r="H17" s="3201">
        <v>0</v>
      </c>
      <c r="I17" s="3201"/>
      <c r="J17" s="3201"/>
      <c r="K17" s="2783"/>
      <c r="L17" s="3201">
        <v>0</v>
      </c>
      <c r="M17" s="2783"/>
      <c r="N17" s="2789"/>
    </row>
    <row r="18" spans="1:14">
      <c r="A18" s="2791"/>
      <c r="B18" s="2791"/>
      <c r="C18" s="2791"/>
      <c r="D18" s="2791"/>
      <c r="E18" s="2791"/>
      <c r="F18" s="2791"/>
      <c r="G18" s="2791"/>
      <c r="H18" s="3201"/>
      <c r="I18" s="3201"/>
      <c r="J18" s="3201"/>
      <c r="K18" s="2783"/>
      <c r="L18" s="3201"/>
      <c r="M18" s="2783"/>
      <c r="N18" s="2789"/>
    </row>
    <row r="19" spans="1:14" ht="27">
      <c r="A19" s="2780" t="s">
        <v>2408</v>
      </c>
      <c r="B19" s="2788"/>
      <c r="C19" s="2780" t="s">
        <v>671</v>
      </c>
      <c r="D19" s="2788"/>
      <c r="E19" s="2780" t="s">
        <v>2409</v>
      </c>
      <c r="F19" s="2788"/>
      <c r="G19" s="2789"/>
      <c r="H19" s="2789"/>
      <c r="I19" s="2789"/>
      <c r="J19" s="2789"/>
      <c r="K19" s="2789"/>
      <c r="L19" s="2789"/>
      <c r="M19" s="2789"/>
      <c r="N19" s="2789"/>
    </row>
    <row r="20" spans="1:14">
      <c r="A20" s="2783"/>
      <c r="B20" s="2783"/>
      <c r="C20" s="2783"/>
      <c r="D20" s="2783"/>
      <c r="E20" s="2783"/>
      <c r="F20" s="2783"/>
      <c r="G20" s="2783"/>
      <c r="H20" s="2783"/>
      <c r="I20" s="2783"/>
      <c r="J20" s="2783"/>
      <c r="K20" s="2783"/>
      <c r="L20" s="2783"/>
      <c r="M20" s="2783"/>
      <c r="N20" s="2789"/>
    </row>
    <row r="21" spans="1:14">
      <c r="A21" s="2791"/>
      <c r="B21" s="2789"/>
      <c r="C21" s="2789"/>
      <c r="D21" s="2789"/>
      <c r="E21" s="2789"/>
      <c r="F21" s="2789"/>
      <c r="G21" s="2789"/>
      <c r="H21" s="3200" t="s">
        <v>2410</v>
      </c>
      <c r="I21" s="3200"/>
      <c r="J21" s="2783"/>
      <c r="K21" s="3201">
        <v>0</v>
      </c>
      <c r="L21" s="3201"/>
      <c r="M21" s="2783"/>
      <c r="N21" s="3199"/>
    </row>
    <row r="22" spans="1:14">
      <c r="A22" s="2789"/>
      <c r="B22" s="2789"/>
      <c r="C22" s="2789"/>
      <c r="D22" s="2789"/>
      <c r="E22" s="2789"/>
      <c r="F22" s="2789"/>
      <c r="G22" s="2789"/>
      <c r="H22" s="2783"/>
      <c r="I22" s="2783"/>
      <c r="J22" s="2783"/>
      <c r="K22" s="3201"/>
      <c r="L22" s="3201"/>
      <c r="M22" s="2789"/>
      <c r="N22" s="3199"/>
    </row>
    <row r="23" spans="1:14">
      <c r="A23" s="2785">
        <v>4421</v>
      </c>
      <c r="B23" s="2783"/>
      <c r="C23" s="3202" t="s">
        <v>2441</v>
      </c>
      <c r="D23" s="3202"/>
      <c r="E23" s="3202"/>
      <c r="F23" s="3202"/>
      <c r="G23" s="3202"/>
      <c r="H23" s="3202"/>
      <c r="I23" s="3202"/>
      <c r="J23" s="2783"/>
      <c r="K23" s="2783"/>
      <c r="L23" s="2783"/>
      <c r="M23" s="2783"/>
      <c r="N23" s="2789"/>
    </row>
    <row r="24" spans="1:14">
      <c r="A24" s="2783"/>
      <c r="B24" s="2783"/>
      <c r="C24" s="2783"/>
      <c r="D24" s="2783"/>
      <c r="E24" s="2783"/>
      <c r="F24" s="2783"/>
      <c r="G24" s="2783"/>
      <c r="H24" s="2783"/>
      <c r="I24" s="2783"/>
      <c r="J24" s="2783"/>
      <c r="K24" s="2783"/>
      <c r="L24" s="2783"/>
      <c r="M24" s="2783"/>
      <c r="N24" s="2789"/>
    </row>
    <row r="25" spans="1:14">
      <c r="A25" s="3203"/>
      <c r="B25" s="3203"/>
      <c r="C25" s="3203"/>
      <c r="D25" s="2786"/>
      <c r="E25" s="2786"/>
      <c r="F25" s="2786"/>
      <c r="G25" s="2786"/>
      <c r="H25" s="3204"/>
      <c r="I25" s="3204"/>
      <c r="J25" s="3204"/>
      <c r="K25" s="2786"/>
      <c r="L25" s="2787"/>
      <c r="M25" s="2786"/>
      <c r="N25" s="2789"/>
    </row>
    <row r="26" spans="1:14">
      <c r="A26" s="2791"/>
      <c r="B26" s="2791"/>
      <c r="C26" s="2791"/>
      <c r="D26" s="2791"/>
      <c r="E26" s="3200" t="s">
        <v>2412</v>
      </c>
      <c r="F26" s="3200"/>
      <c r="G26" s="2791"/>
      <c r="H26" s="3201">
        <v>0</v>
      </c>
      <c r="I26" s="3201"/>
      <c r="J26" s="3201"/>
      <c r="K26" s="2783"/>
      <c r="L26" s="3201">
        <v>0</v>
      </c>
      <c r="M26" s="2783"/>
      <c r="N26" s="2789"/>
    </row>
    <row r="27" spans="1:14">
      <c r="A27" s="2791"/>
      <c r="B27" s="2791"/>
      <c r="C27" s="2791"/>
      <c r="D27" s="2791"/>
      <c r="E27" s="2791"/>
      <c r="F27" s="2791"/>
      <c r="G27" s="2791"/>
      <c r="H27" s="3201"/>
      <c r="I27" s="3201"/>
      <c r="J27" s="3201"/>
      <c r="K27" s="2783"/>
      <c r="L27" s="3201"/>
      <c r="M27" s="2783"/>
      <c r="N27" s="2789"/>
    </row>
    <row r="28" spans="1:14" ht="27">
      <c r="A28" s="2780" t="s">
        <v>2408</v>
      </c>
      <c r="B28" s="2788"/>
      <c r="C28" s="2780" t="s">
        <v>671</v>
      </c>
      <c r="D28" s="2788"/>
      <c r="E28" s="2780" t="s">
        <v>2409</v>
      </c>
      <c r="F28" s="2788"/>
      <c r="G28" s="2789"/>
      <c r="H28" s="2789"/>
      <c r="I28" s="2789"/>
      <c r="J28" s="2789"/>
      <c r="K28" s="2789"/>
      <c r="L28" s="2789"/>
      <c r="M28" s="2789"/>
      <c r="N28" s="2789"/>
    </row>
    <row r="29" spans="1:14">
      <c r="A29" s="2783"/>
      <c r="B29" s="2783"/>
      <c r="C29" s="2783"/>
      <c r="D29" s="2783"/>
      <c r="E29" s="2783"/>
      <c r="F29" s="2783"/>
      <c r="G29" s="2783"/>
      <c r="H29" s="2783"/>
      <c r="I29" s="2783"/>
      <c r="J29" s="2783"/>
      <c r="K29" s="2783"/>
      <c r="L29" s="2783"/>
      <c r="M29" s="2783"/>
      <c r="N29" s="2789"/>
    </row>
    <row r="30" spans="1:14">
      <c r="A30" s="2791"/>
      <c r="B30" s="2789"/>
      <c r="C30" s="2789"/>
      <c r="D30" s="2789"/>
      <c r="E30" s="2789"/>
      <c r="F30" s="2789"/>
      <c r="G30" s="2789"/>
      <c r="H30" s="3200" t="s">
        <v>2410</v>
      </c>
      <c r="I30" s="3200"/>
      <c r="J30" s="2783"/>
      <c r="K30" s="3201">
        <v>0</v>
      </c>
      <c r="L30" s="3201"/>
      <c r="M30" s="2783"/>
      <c r="N30" s="3199"/>
    </row>
    <row r="31" spans="1:14">
      <c r="A31" s="2789"/>
      <c r="B31" s="2789"/>
      <c r="C31" s="2789"/>
      <c r="D31" s="2789"/>
      <c r="E31" s="2789"/>
      <c r="F31" s="2789"/>
      <c r="G31" s="2789"/>
      <c r="H31" s="2783"/>
      <c r="I31" s="2783"/>
      <c r="J31" s="2783"/>
      <c r="K31" s="3201"/>
      <c r="L31" s="3201"/>
      <c r="M31" s="2789"/>
      <c r="N31" s="3199"/>
    </row>
    <row r="32" spans="1:14">
      <c r="A32" s="2785">
        <v>31913</v>
      </c>
      <c r="B32" s="2783"/>
      <c r="C32" s="3202" t="s">
        <v>2442</v>
      </c>
      <c r="D32" s="3202"/>
      <c r="E32" s="3202"/>
      <c r="F32" s="3202"/>
      <c r="G32" s="3202"/>
      <c r="H32" s="3202"/>
      <c r="I32" s="3202"/>
      <c r="J32" s="2783"/>
      <c r="K32" s="2783"/>
      <c r="L32" s="2783"/>
      <c r="M32" s="2783"/>
      <c r="N32" s="2789"/>
    </row>
    <row r="33" spans="1:14">
      <c r="A33" s="2783"/>
      <c r="B33" s="2783"/>
      <c r="C33" s="2783"/>
      <c r="D33" s="2783"/>
      <c r="E33" s="2783"/>
      <c r="F33" s="2783"/>
      <c r="G33" s="2783"/>
      <c r="H33" s="2783"/>
      <c r="I33" s="2783"/>
      <c r="J33" s="2783"/>
      <c r="K33" s="2783"/>
      <c r="L33" s="2783"/>
      <c r="M33" s="2783"/>
      <c r="N33" s="2789"/>
    </row>
    <row r="34" spans="1:14">
      <c r="A34" s="3203"/>
      <c r="B34" s="3203"/>
      <c r="C34" s="3203"/>
      <c r="D34" s="2786"/>
      <c r="E34" s="2786"/>
      <c r="F34" s="2786"/>
      <c r="G34" s="2786"/>
      <c r="H34" s="3204"/>
      <c r="I34" s="3204"/>
      <c r="J34" s="3204"/>
      <c r="K34" s="2786"/>
      <c r="L34" s="2787"/>
      <c r="M34" s="2786"/>
      <c r="N34" s="2789"/>
    </row>
    <row r="35" spans="1:14">
      <c r="A35" s="2791"/>
      <c r="B35" s="2791"/>
      <c r="C35" s="2791"/>
      <c r="D35" s="2791"/>
      <c r="E35" s="3200" t="s">
        <v>2412</v>
      </c>
      <c r="F35" s="3200"/>
      <c r="G35" s="2791"/>
      <c r="H35" s="3201">
        <v>0</v>
      </c>
      <c r="I35" s="3201"/>
      <c r="J35" s="3201"/>
      <c r="K35" s="2783"/>
      <c r="L35" s="3201">
        <v>0</v>
      </c>
      <c r="M35" s="2783"/>
      <c r="N35" s="2789"/>
    </row>
    <row r="36" spans="1:14">
      <c r="A36" s="2791"/>
      <c r="B36" s="2791"/>
      <c r="C36" s="2791"/>
      <c r="D36" s="2791"/>
      <c r="E36" s="2791"/>
      <c r="F36" s="2791"/>
      <c r="G36" s="2791"/>
      <c r="H36" s="3201"/>
      <c r="I36" s="3201"/>
      <c r="J36" s="3201"/>
      <c r="K36" s="2783"/>
      <c r="L36" s="3201"/>
      <c r="M36" s="2783"/>
      <c r="N36" s="2789"/>
    </row>
    <row r="37" spans="1:14" ht="27">
      <c r="A37" s="2780" t="s">
        <v>2408</v>
      </c>
      <c r="B37" s="2788"/>
      <c r="C37" s="2780" t="s">
        <v>671</v>
      </c>
      <c r="D37" s="2788"/>
      <c r="E37" s="2780" t="s">
        <v>2409</v>
      </c>
      <c r="F37" s="2788"/>
      <c r="G37" s="2789"/>
      <c r="H37" s="2789"/>
      <c r="I37" s="2789"/>
      <c r="J37" s="2789"/>
      <c r="K37" s="2789"/>
      <c r="L37" s="2789"/>
      <c r="M37" s="2789"/>
      <c r="N37" s="2789"/>
    </row>
    <row r="38" spans="1:14">
      <c r="A38" s="2783"/>
      <c r="B38" s="2783"/>
      <c r="C38" s="2783"/>
      <c r="D38" s="2783"/>
      <c r="E38" s="2783"/>
      <c r="F38" s="2783"/>
      <c r="G38" s="2783"/>
      <c r="H38" s="2783"/>
      <c r="I38" s="2783"/>
      <c r="J38" s="2783"/>
      <c r="K38" s="2783"/>
      <c r="L38" s="2783"/>
      <c r="M38" s="2783"/>
      <c r="N38" s="2789"/>
    </row>
    <row r="39" spans="1:14">
      <c r="A39" s="2791"/>
      <c r="B39" s="2789"/>
      <c r="C39" s="2789"/>
      <c r="D39" s="2789"/>
      <c r="E39" s="2789"/>
      <c r="F39" s="2789"/>
      <c r="G39" s="2789"/>
      <c r="H39" s="3200" t="s">
        <v>2410</v>
      </c>
      <c r="I39" s="3200"/>
      <c r="J39" s="2783"/>
      <c r="K39" s="3201">
        <v>0</v>
      </c>
      <c r="L39" s="3201"/>
      <c r="M39" s="2783"/>
      <c r="N39" s="3199"/>
    </row>
    <row r="40" spans="1:14">
      <c r="A40" s="2789"/>
      <c r="B40" s="2789"/>
      <c r="C40" s="2789"/>
      <c r="D40" s="2789"/>
      <c r="E40" s="2789"/>
      <c r="F40" s="2789"/>
      <c r="G40" s="2789"/>
      <c r="H40" s="2783"/>
      <c r="I40" s="2783"/>
      <c r="J40" s="2783"/>
      <c r="K40" s="3201"/>
      <c r="L40" s="3201"/>
      <c r="M40" s="2789"/>
      <c r="N40" s="3199"/>
    </row>
    <row r="41" spans="1:14">
      <c r="A41" s="2785">
        <v>40147</v>
      </c>
      <c r="B41" s="2783"/>
      <c r="C41" s="3202" t="s">
        <v>2443</v>
      </c>
      <c r="D41" s="3202"/>
      <c r="E41" s="3202"/>
      <c r="F41" s="3202"/>
      <c r="G41" s="3202"/>
      <c r="H41" s="3202"/>
      <c r="I41" s="3202"/>
      <c r="J41" s="2783"/>
      <c r="K41" s="2783"/>
      <c r="L41" s="2783"/>
      <c r="M41" s="2783"/>
      <c r="N41" s="2789"/>
    </row>
    <row r="42" spans="1:14">
      <c r="A42" s="2783"/>
      <c r="B42" s="2783"/>
      <c r="C42" s="2783"/>
      <c r="D42" s="2783"/>
      <c r="E42" s="2783"/>
      <c r="F42" s="2783"/>
      <c r="G42" s="2783"/>
      <c r="H42" s="2783"/>
      <c r="I42" s="2783"/>
      <c r="J42" s="2783"/>
      <c r="K42" s="2783"/>
      <c r="L42" s="2783"/>
      <c r="M42" s="2783"/>
      <c r="N42" s="2789"/>
    </row>
    <row r="43" spans="1:14">
      <c r="A43" s="3203"/>
      <c r="B43" s="3203"/>
      <c r="C43" s="3203"/>
      <c r="D43" s="2786"/>
      <c r="E43" s="2786"/>
      <c r="F43" s="2786"/>
      <c r="G43" s="2786"/>
      <c r="H43" s="3204"/>
      <c r="I43" s="3204"/>
      <c r="J43" s="3204"/>
      <c r="K43" s="2786"/>
      <c r="L43" s="2787"/>
      <c r="M43" s="2786"/>
      <c r="N43" s="2789"/>
    </row>
    <row r="44" spans="1:14">
      <c r="A44" s="2791"/>
      <c r="B44" s="2791"/>
      <c r="C44" s="2791"/>
      <c r="D44" s="2791"/>
      <c r="E44" s="3200" t="s">
        <v>2412</v>
      </c>
      <c r="F44" s="3200"/>
      <c r="G44" s="2791"/>
      <c r="H44" s="3201">
        <v>0</v>
      </c>
      <c r="I44" s="3201"/>
      <c r="J44" s="3201"/>
      <c r="K44" s="2783"/>
      <c r="L44" s="3201">
        <v>0</v>
      </c>
      <c r="M44" s="2783"/>
      <c r="N44" s="2789"/>
    </row>
    <row r="45" spans="1:14">
      <c r="A45" s="2791"/>
      <c r="B45" s="2791"/>
      <c r="C45" s="2791"/>
      <c r="D45" s="2791"/>
      <c r="E45" s="2791"/>
      <c r="F45" s="2791"/>
      <c r="G45" s="2791"/>
      <c r="H45" s="3201"/>
      <c r="I45" s="3201"/>
      <c r="J45" s="3201"/>
      <c r="K45" s="2783"/>
      <c r="L45" s="3201"/>
      <c r="M45" s="2783"/>
      <c r="N45" s="2789"/>
    </row>
    <row r="46" spans="1:14" ht="27">
      <c r="A46" s="2780" t="s">
        <v>2408</v>
      </c>
      <c r="B46" s="2788"/>
      <c r="C46" s="2780" t="s">
        <v>671</v>
      </c>
      <c r="D46" s="2788"/>
      <c r="E46" s="2780" t="s">
        <v>2409</v>
      </c>
      <c r="F46" s="2788"/>
      <c r="G46" s="2789"/>
      <c r="H46" s="2789"/>
      <c r="I46" s="2789"/>
      <c r="J46" s="2789"/>
      <c r="K46" s="2789"/>
      <c r="L46" s="2789"/>
      <c r="M46" s="2789"/>
      <c r="N46" s="2789"/>
    </row>
    <row r="47" spans="1:14">
      <c r="A47" s="2783"/>
      <c r="B47" s="2783"/>
      <c r="C47" s="2783"/>
      <c r="D47" s="2783"/>
      <c r="E47" s="2783"/>
      <c r="F47" s="2783"/>
      <c r="G47" s="2783"/>
      <c r="H47" s="2783"/>
      <c r="I47" s="2783"/>
      <c r="J47" s="2783"/>
      <c r="K47" s="2783"/>
      <c r="L47" s="2783"/>
      <c r="M47" s="2783"/>
      <c r="N47" s="2789"/>
    </row>
    <row r="48" spans="1:14">
      <c r="A48" s="2791"/>
      <c r="B48" s="2789"/>
      <c r="C48" s="2789"/>
      <c r="D48" s="2789"/>
      <c r="E48" s="2789"/>
      <c r="F48" s="2789"/>
      <c r="G48" s="2789"/>
      <c r="H48" s="3200" t="s">
        <v>2410</v>
      </c>
      <c r="I48" s="3200"/>
      <c r="J48" s="2783"/>
      <c r="K48" s="3201">
        <v>0</v>
      </c>
      <c r="L48" s="3201"/>
      <c r="M48" s="2783"/>
      <c r="N48" s="3199"/>
    </row>
    <row r="49" spans="1:14">
      <c r="A49" s="2789"/>
      <c r="B49" s="2789"/>
      <c r="C49" s="2789"/>
      <c r="D49" s="2789"/>
      <c r="E49" s="2789"/>
      <c r="F49" s="2789"/>
      <c r="G49" s="2789"/>
      <c r="H49" s="2783"/>
      <c r="I49" s="2783"/>
      <c r="J49" s="2783"/>
      <c r="K49" s="3201"/>
      <c r="L49" s="3201"/>
      <c r="M49" s="2789"/>
      <c r="N49" s="3199"/>
    </row>
    <row r="50" spans="1:14">
      <c r="A50" s="2785">
        <v>54909</v>
      </c>
      <c r="B50" s="2783"/>
      <c r="C50" s="3202" t="s">
        <v>2444</v>
      </c>
      <c r="D50" s="3202"/>
      <c r="E50" s="3202"/>
      <c r="F50" s="3202"/>
      <c r="G50" s="3202"/>
      <c r="H50" s="3202"/>
      <c r="I50" s="3202"/>
      <c r="J50" s="2783"/>
      <c r="K50" s="2783"/>
      <c r="L50" s="2783"/>
      <c r="M50" s="2783"/>
      <c r="N50" s="2789"/>
    </row>
    <row r="51" spans="1:14">
      <c r="A51" s="2783"/>
      <c r="B51" s="2783"/>
      <c r="C51" s="2783"/>
      <c r="D51" s="2783"/>
      <c r="E51" s="2783"/>
      <c r="F51" s="2783"/>
      <c r="G51" s="2783"/>
      <c r="H51" s="2783"/>
      <c r="I51" s="2783"/>
      <c r="J51" s="2783"/>
      <c r="K51" s="2783"/>
      <c r="L51" s="2783"/>
      <c r="M51" s="2783"/>
      <c r="N51" s="2789"/>
    </row>
    <row r="52" spans="1:14">
      <c r="A52" s="3203"/>
      <c r="B52" s="3203"/>
      <c r="C52" s="3203"/>
      <c r="D52" s="2786"/>
      <c r="E52" s="2786"/>
      <c r="F52" s="2786"/>
      <c r="G52" s="2786"/>
      <c r="H52" s="3204"/>
      <c r="I52" s="3204"/>
      <c r="J52" s="3204"/>
      <c r="K52" s="2786"/>
      <c r="L52" s="2787"/>
      <c r="M52" s="2786"/>
      <c r="N52" s="2789"/>
    </row>
    <row r="53" spans="1:14">
      <c r="A53" s="2791"/>
      <c r="B53" s="2791"/>
      <c r="C53" s="2791"/>
      <c r="D53" s="2791"/>
      <c r="E53" s="3200" t="s">
        <v>2412</v>
      </c>
      <c r="F53" s="3200"/>
      <c r="G53" s="2791"/>
      <c r="H53" s="3201">
        <v>0</v>
      </c>
      <c r="I53" s="3201"/>
      <c r="J53" s="3201"/>
      <c r="K53" s="2783"/>
      <c r="L53" s="3201">
        <v>0</v>
      </c>
      <c r="M53" s="2783"/>
      <c r="N53" s="2789"/>
    </row>
    <row r="54" spans="1:14">
      <c r="A54" s="2791"/>
      <c r="B54" s="2791"/>
      <c r="C54" s="2791"/>
      <c r="D54" s="2791"/>
      <c r="E54" s="2791"/>
      <c r="F54" s="2791"/>
      <c r="G54" s="2791"/>
      <c r="H54" s="3201"/>
      <c r="I54" s="3201"/>
      <c r="J54" s="3201"/>
      <c r="K54" s="2783"/>
      <c r="L54" s="3201"/>
      <c r="M54" s="2783"/>
      <c r="N54" s="2789"/>
    </row>
    <row r="55" spans="1:14" ht="27">
      <c r="A55" s="2780" t="s">
        <v>2408</v>
      </c>
      <c r="B55" s="2788"/>
      <c r="C55" s="2780" t="s">
        <v>671</v>
      </c>
      <c r="D55" s="2788"/>
      <c r="E55" s="2780" t="s">
        <v>2409</v>
      </c>
      <c r="F55" s="2788"/>
      <c r="G55" s="2789"/>
      <c r="H55" s="2789"/>
      <c r="I55" s="2789"/>
      <c r="J55" s="2789"/>
      <c r="K55" s="2789"/>
      <c r="L55" s="2789"/>
      <c r="M55" s="2789"/>
      <c r="N55" s="2789"/>
    </row>
    <row r="56" spans="1:14">
      <c r="A56" s="2783"/>
      <c r="B56" s="2783"/>
      <c r="C56" s="2783"/>
      <c r="D56" s="2783"/>
      <c r="E56" s="2783"/>
      <c r="F56" s="2783"/>
      <c r="G56" s="2783"/>
      <c r="H56" s="2783"/>
      <c r="I56" s="2783"/>
      <c r="J56" s="2783"/>
      <c r="K56" s="2783"/>
      <c r="L56" s="2783"/>
      <c r="M56" s="2783"/>
      <c r="N56" s="2789"/>
    </row>
    <row r="57" spans="1:14">
      <c r="A57" s="2791"/>
      <c r="B57" s="2789"/>
      <c r="C57" s="2789"/>
      <c r="D57" s="2789"/>
      <c r="E57" s="2789"/>
      <c r="F57" s="2789"/>
      <c r="G57" s="2789"/>
      <c r="H57" s="3200" t="s">
        <v>2410</v>
      </c>
      <c r="I57" s="3200"/>
      <c r="J57" s="2783"/>
      <c r="K57" s="3201">
        <v>0</v>
      </c>
      <c r="L57" s="3201"/>
      <c r="M57" s="2783"/>
      <c r="N57" s="3199"/>
    </row>
    <row r="58" spans="1:14">
      <c r="A58" s="2789"/>
      <c r="B58" s="2789"/>
      <c r="C58" s="2789"/>
      <c r="D58" s="2789"/>
      <c r="E58" s="2789"/>
      <c r="F58" s="2789"/>
      <c r="G58" s="2789"/>
      <c r="H58" s="2783"/>
      <c r="I58" s="2783"/>
      <c r="J58" s="2783"/>
      <c r="K58" s="3201"/>
      <c r="L58" s="3201"/>
      <c r="M58" s="2789"/>
      <c r="N58" s="3199"/>
    </row>
    <row r="59" spans="1:14">
      <c r="A59" s="2785">
        <v>54982</v>
      </c>
      <c r="B59" s="2783"/>
      <c r="C59" s="3202" t="s">
        <v>2445</v>
      </c>
      <c r="D59" s="3202"/>
      <c r="E59" s="3202"/>
      <c r="F59" s="3202"/>
      <c r="G59" s="3202"/>
      <c r="H59" s="3202"/>
      <c r="I59" s="3202"/>
      <c r="J59" s="2783"/>
      <c r="K59" s="2783"/>
      <c r="L59" s="2783"/>
      <c r="M59" s="2783"/>
      <c r="N59" s="2789"/>
    </row>
    <row r="60" spans="1:14">
      <c r="A60" s="2783"/>
      <c r="B60" s="2783"/>
      <c r="C60" s="2783"/>
      <c r="D60" s="2783"/>
      <c r="E60" s="2783"/>
      <c r="F60" s="2783"/>
      <c r="G60" s="2783"/>
      <c r="H60" s="2783"/>
      <c r="I60" s="2783"/>
      <c r="J60" s="2783"/>
      <c r="K60" s="2783"/>
      <c r="L60" s="2783"/>
      <c r="M60" s="2783"/>
      <c r="N60" s="2789"/>
    </row>
    <row r="61" spans="1:14">
      <c r="A61" s="3203"/>
      <c r="B61" s="3203"/>
      <c r="C61" s="3203"/>
      <c r="D61" s="2786"/>
      <c r="E61" s="2786"/>
      <c r="F61" s="2786"/>
      <c r="G61" s="2786"/>
      <c r="H61" s="3204"/>
      <c r="I61" s="3204"/>
      <c r="J61" s="3204"/>
      <c r="K61" s="2786"/>
      <c r="L61" s="2787"/>
      <c r="M61" s="2786"/>
      <c r="N61" s="2789"/>
    </row>
    <row r="62" spans="1:14">
      <c r="A62" s="2791"/>
      <c r="B62" s="2791"/>
      <c r="C62" s="2791"/>
      <c r="D62" s="2791"/>
      <c r="E62" s="3200" t="s">
        <v>2412</v>
      </c>
      <c r="F62" s="3200"/>
      <c r="G62" s="2791"/>
      <c r="H62" s="3201">
        <v>0</v>
      </c>
      <c r="I62" s="3201"/>
      <c r="J62" s="3201"/>
      <c r="K62" s="2783"/>
      <c r="L62" s="3201">
        <v>0</v>
      </c>
      <c r="M62" s="2783"/>
      <c r="N62" s="2789"/>
    </row>
    <row r="63" spans="1:14">
      <c r="A63" s="2791"/>
      <c r="B63" s="2791"/>
      <c r="C63" s="2791"/>
      <c r="D63" s="2791"/>
      <c r="E63" s="2791"/>
      <c r="F63" s="2791"/>
      <c r="G63" s="2791"/>
      <c r="H63" s="3201"/>
      <c r="I63" s="3201"/>
      <c r="J63" s="3201"/>
      <c r="K63" s="2783"/>
      <c r="L63" s="3201"/>
      <c r="M63" s="2783"/>
      <c r="N63" s="2789"/>
    </row>
    <row r="64" spans="1:14" ht="27">
      <c r="A64" s="2780" t="s">
        <v>2408</v>
      </c>
      <c r="B64" s="2788"/>
      <c r="C64" s="2780" t="s">
        <v>671</v>
      </c>
      <c r="D64" s="2788"/>
      <c r="E64" s="2780" t="s">
        <v>2409</v>
      </c>
      <c r="F64" s="2788"/>
      <c r="G64" s="2789"/>
      <c r="H64" s="2789"/>
      <c r="I64" s="2789"/>
      <c r="J64" s="2789"/>
      <c r="K64" s="2789"/>
      <c r="L64" s="2789"/>
      <c r="M64" s="2789"/>
      <c r="N64" s="2789"/>
    </row>
    <row r="65" spans="1:14">
      <c r="A65" s="2783"/>
      <c r="B65" s="2783"/>
      <c r="C65" s="2783"/>
      <c r="D65" s="2783"/>
      <c r="E65" s="2783"/>
      <c r="F65" s="2783"/>
      <c r="G65" s="2783"/>
      <c r="H65" s="2783"/>
      <c r="I65" s="2783"/>
      <c r="J65" s="2783"/>
      <c r="K65" s="2783"/>
      <c r="L65" s="2783"/>
      <c r="M65" s="2783"/>
      <c r="N65" s="2789"/>
    </row>
    <row r="66" spans="1:14">
      <c r="A66" s="2791"/>
      <c r="B66" s="2789"/>
      <c r="C66" s="2789"/>
      <c r="D66" s="2789"/>
      <c r="E66" s="2789"/>
      <c r="F66" s="2789"/>
      <c r="G66" s="2789"/>
      <c r="H66" s="3200" t="s">
        <v>2410</v>
      </c>
      <c r="I66" s="3200"/>
      <c r="J66" s="2783"/>
      <c r="K66" s="3201">
        <v>0</v>
      </c>
      <c r="L66" s="3201"/>
      <c r="M66" s="2783"/>
      <c r="N66" s="3199"/>
    </row>
    <row r="67" spans="1:14">
      <c r="A67" s="2789"/>
      <c r="B67" s="2789"/>
      <c r="C67" s="2789"/>
      <c r="D67" s="2789"/>
      <c r="E67" s="2789"/>
      <c r="F67" s="2789"/>
      <c r="G67" s="2789"/>
      <c r="H67" s="2783"/>
      <c r="I67" s="2783"/>
      <c r="J67" s="2783"/>
      <c r="K67" s="3201"/>
      <c r="L67" s="3201"/>
      <c r="M67" s="2789"/>
      <c r="N67" s="3199"/>
    </row>
    <row r="68" spans="1:14">
      <c r="A68" s="2785">
        <v>55049</v>
      </c>
      <c r="B68" s="2783"/>
      <c r="C68" s="3202" t="s">
        <v>2446</v>
      </c>
      <c r="D68" s="3202"/>
      <c r="E68" s="3202"/>
      <c r="F68" s="3202"/>
      <c r="G68" s="3202"/>
      <c r="H68" s="3202"/>
      <c r="I68" s="3202"/>
      <c r="J68" s="2783"/>
      <c r="K68" s="2783"/>
      <c r="L68" s="2783"/>
      <c r="M68" s="2783"/>
      <c r="N68" s="2789"/>
    </row>
    <row r="69" spans="1:14">
      <c r="A69" s="2783"/>
      <c r="B69" s="2783"/>
      <c r="C69" s="2783"/>
      <c r="D69" s="2783"/>
      <c r="E69" s="2783"/>
      <c r="F69" s="2783"/>
      <c r="G69" s="2783"/>
      <c r="H69" s="2783"/>
      <c r="I69" s="2783"/>
      <c r="J69" s="2783"/>
      <c r="K69" s="2783"/>
      <c r="L69" s="2783"/>
      <c r="M69" s="2783"/>
      <c r="N69" s="2789"/>
    </row>
    <row r="70" spans="1:14">
      <c r="A70" s="3203"/>
      <c r="B70" s="3203"/>
      <c r="C70" s="3203"/>
      <c r="D70" s="2786"/>
      <c r="E70" s="2786"/>
      <c r="F70" s="2786"/>
      <c r="G70" s="2786"/>
      <c r="H70" s="3204"/>
      <c r="I70" s="3204"/>
      <c r="J70" s="3204"/>
      <c r="K70" s="2786"/>
      <c r="L70" s="2787"/>
      <c r="M70" s="2786"/>
      <c r="N70" s="2789"/>
    </row>
    <row r="71" spans="1:14">
      <c r="A71" s="2791"/>
      <c r="B71" s="2791"/>
      <c r="C71" s="2791"/>
      <c r="D71" s="2791"/>
      <c r="E71" s="3200" t="s">
        <v>2412</v>
      </c>
      <c r="F71" s="3200"/>
      <c r="G71" s="2791"/>
      <c r="H71" s="3201">
        <v>0</v>
      </c>
      <c r="I71" s="3201"/>
      <c r="J71" s="3201"/>
      <c r="K71" s="2783"/>
      <c r="L71" s="3201">
        <v>0</v>
      </c>
      <c r="M71" s="2783"/>
      <c r="N71" s="2789"/>
    </row>
    <row r="72" spans="1:14">
      <c r="A72" s="2791"/>
      <c r="B72" s="2791"/>
      <c r="C72" s="2791"/>
      <c r="D72" s="2791"/>
      <c r="E72" s="2791"/>
      <c r="F72" s="2791"/>
      <c r="G72" s="2791"/>
      <c r="H72" s="3201"/>
      <c r="I72" s="3201"/>
      <c r="J72" s="3201"/>
      <c r="K72" s="2783"/>
      <c r="L72" s="3201"/>
      <c r="M72" s="2783"/>
      <c r="N72" s="2789"/>
    </row>
    <row r="73" spans="1:14" ht="27">
      <c r="A73" s="2780" t="s">
        <v>2408</v>
      </c>
      <c r="B73" s="2788"/>
      <c r="C73" s="2780" t="s">
        <v>671</v>
      </c>
      <c r="D73" s="2788"/>
      <c r="E73" s="2780" t="s">
        <v>2409</v>
      </c>
      <c r="F73" s="2788"/>
      <c r="G73" s="2789"/>
      <c r="H73" s="2789"/>
      <c r="I73" s="2789"/>
      <c r="J73" s="2789"/>
      <c r="K73" s="2789"/>
      <c r="L73" s="2789"/>
      <c r="M73" s="2789"/>
      <c r="N73" s="2789"/>
    </row>
    <row r="74" spans="1:14">
      <c r="A74" s="2783"/>
      <c r="B74" s="2783"/>
      <c r="C74" s="2783"/>
      <c r="D74" s="2783"/>
      <c r="E74" s="2783"/>
      <c r="F74" s="2783"/>
      <c r="G74" s="2783"/>
      <c r="H74" s="2783"/>
      <c r="I74" s="2783"/>
      <c r="J74" s="2783"/>
      <c r="K74" s="2783"/>
      <c r="L74" s="2783"/>
      <c r="M74" s="2783"/>
      <c r="N74" s="2789"/>
    </row>
    <row r="75" spans="1:14">
      <c r="A75" s="2791"/>
      <c r="B75" s="2789"/>
      <c r="C75" s="2789"/>
      <c r="D75" s="2789"/>
      <c r="E75" s="2789"/>
      <c r="F75" s="2789"/>
      <c r="G75" s="2789"/>
      <c r="H75" s="3200" t="s">
        <v>2410</v>
      </c>
      <c r="I75" s="3200"/>
      <c r="J75" s="2783"/>
      <c r="K75" s="3201">
        <v>0</v>
      </c>
      <c r="L75" s="3201"/>
      <c r="M75" s="2783"/>
      <c r="N75" s="3199"/>
    </row>
    <row r="76" spans="1:14">
      <c r="A76" s="2789"/>
      <c r="B76" s="2789"/>
      <c r="C76" s="2789"/>
      <c r="D76" s="2789"/>
      <c r="E76" s="2789"/>
      <c r="F76" s="2789"/>
      <c r="G76" s="2789"/>
      <c r="H76" s="2783"/>
      <c r="I76" s="2783"/>
      <c r="J76" s="2783"/>
      <c r="K76" s="3201"/>
      <c r="L76" s="3201"/>
      <c r="M76" s="2789"/>
      <c r="N76" s="3199"/>
    </row>
    <row r="77" spans="1:14">
      <c r="A77" s="2785">
        <v>55205</v>
      </c>
      <c r="B77" s="2783"/>
      <c r="C77" s="3202" t="s">
        <v>2447</v>
      </c>
      <c r="D77" s="3202"/>
      <c r="E77" s="3202"/>
      <c r="F77" s="3202"/>
      <c r="G77" s="3202"/>
      <c r="H77" s="3202"/>
      <c r="I77" s="3202"/>
      <c r="J77" s="2783"/>
      <c r="K77" s="2783"/>
      <c r="L77" s="2783"/>
      <c r="M77" s="2783"/>
      <c r="N77" s="2789"/>
    </row>
    <row r="78" spans="1:14">
      <c r="A78" s="2783"/>
      <c r="B78" s="2783"/>
      <c r="C78" s="2783"/>
      <c r="D78" s="2783"/>
      <c r="E78" s="2783"/>
      <c r="F78" s="2783"/>
      <c r="G78" s="2783"/>
      <c r="H78" s="2783"/>
      <c r="I78" s="2783"/>
      <c r="J78" s="2783"/>
      <c r="K78" s="2783"/>
      <c r="L78" s="2783"/>
      <c r="M78" s="2783"/>
      <c r="N78" s="2789"/>
    </row>
    <row r="79" spans="1:14">
      <c r="A79" s="3203"/>
      <c r="B79" s="3203"/>
      <c r="C79" s="3203"/>
      <c r="D79" s="2786"/>
      <c r="E79" s="2786"/>
      <c r="F79" s="2786"/>
      <c r="G79" s="2786"/>
      <c r="H79" s="3204"/>
      <c r="I79" s="3204"/>
      <c r="J79" s="3204"/>
      <c r="K79" s="2786"/>
      <c r="L79" s="2787"/>
      <c r="M79" s="2786"/>
      <c r="N79" s="2789"/>
    </row>
    <row r="80" spans="1:14">
      <c r="A80" s="2791"/>
      <c r="B80" s="2791"/>
      <c r="C80" s="2791"/>
      <c r="D80" s="2791"/>
      <c r="E80" s="3200" t="s">
        <v>2412</v>
      </c>
      <c r="F80" s="3200"/>
      <c r="G80" s="2791"/>
      <c r="H80" s="3201">
        <v>0</v>
      </c>
      <c r="I80" s="3201"/>
      <c r="J80" s="3201"/>
      <c r="K80" s="2783"/>
      <c r="L80" s="3201">
        <v>0</v>
      </c>
      <c r="M80" s="2783"/>
      <c r="N80" s="2789"/>
    </row>
    <row r="81" spans="1:14">
      <c r="A81" s="2791"/>
      <c r="B81" s="2791"/>
      <c r="C81" s="2791"/>
      <c r="D81" s="2791"/>
      <c r="E81" s="2791"/>
      <c r="F81" s="2791"/>
      <c r="G81" s="2791"/>
      <c r="H81" s="3201"/>
      <c r="I81" s="3201"/>
      <c r="J81" s="3201"/>
      <c r="K81" s="2783"/>
      <c r="L81" s="3201"/>
      <c r="M81" s="2783"/>
      <c r="N81" s="2789"/>
    </row>
    <row r="82" spans="1:14" ht="27">
      <c r="A82" s="2780" t="s">
        <v>2408</v>
      </c>
      <c r="B82" s="2788"/>
      <c r="C82" s="2780" t="s">
        <v>671</v>
      </c>
      <c r="D82" s="2788"/>
      <c r="E82" s="2780" t="s">
        <v>2409</v>
      </c>
      <c r="F82" s="2788"/>
      <c r="G82" s="2789"/>
      <c r="H82" s="2789"/>
      <c r="I82" s="2789"/>
      <c r="J82" s="2789"/>
      <c r="K82" s="2789"/>
      <c r="L82" s="2789"/>
      <c r="M82" s="2789"/>
      <c r="N82" s="2789"/>
    </row>
    <row r="83" spans="1:14">
      <c r="A83" s="2783"/>
      <c r="B83" s="2783"/>
      <c r="C83" s="2783"/>
      <c r="D83" s="2783"/>
      <c r="E83" s="2783"/>
      <c r="F83" s="2783"/>
      <c r="G83" s="2783"/>
      <c r="H83" s="2783"/>
      <c r="I83" s="2783"/>
      <c r="J83" s="2783"/>
      <c r="K83" s="2783"/>
      <c r="L83" s="2783"/>
      <c r="M83" s="2783"/>
      <c r="N83" s="2789"/>
    </row>
    <row r="84" spans="1:14">
      <c r="A84" s="2791"/>
      <c r="B84" s="2789"/>
      <c r="C84" s="2789"/>
      <c r="D84" s="2789"/>
      <c r="E84" s="2789"/>
      <c r="F84" s="2789"/>
      <c r="G84" s="2789"/>
      <c r="H84" s="3200" t="s">
        <v>2410</v>
      </c>
      <c r="I84" s="3200"/>
      <c r="J84" s="2783"/>
      <c r="K84" s="3201">
        <v>8.0045999999999999</v>
      </c>
      <c r="L84" s="3201"/>
      <c r="M84" s="2783"/>
      <c r="N84" s="3199" t="s">
        <v>2448</v>
      </c>
    </row>
    <row r="85" spans="1:14">
      <c r="A85" s="2789"/>
      <c r="B85" s="2789"/>
      <c r="C85" s="2789"/>
      <c r="D85" s="2789"/>
      <c r="E85" s="2789"/>
      <c r="F85" s="2789"/>
      <c r="G85" s="2789"/>
      <c r="H85" s="2783"/>
      <c r="I85" s="2783"/>
      <c r="J85" s="2783"/>
      <c r="K85" s="3201"/>
      <c r="L85" s="3201"/>
      <c r="M85" s="2789"/>
      <c r="N85" s="3199"/>
    </row>
    <row r="86" spans="1:14">
      <c r="A86" s="2785">
        <v>62002</v>
      </c>
      <c r="B86" s="2783"/>
      <c r="C86" s="3202" t="s">
        <v>2449</v>
      </c>
      <c r="D86" s="3202"/>
      <c r="E86" s="3202"/>
      <c r="F86" s="3202"/>
      <c r="G86" s="3202"/>
      <c r="H86" s="3202"/>
      <c r="I86" s="3202"/>
      <c r="J86" s="2783"/>
      <c r="K86" s="2783"/>
      <c r="L86" s="2783"/>
      <c r="M86" s="2783"/>
      <c r="N86" s="2789"/>
    </row>
    <row r="87" spans="1:14">
      <c r="A87" s="2783"/>
      <c r="B87" s="2783"/>
      <c r="C87" s="2783"/>
      <c r="D87" s="2783"/>
      <c r="E87" s="2783"/>
      <c r="F87" s="2783"/>
      <c r="G87" s="2783"/>
      <c r="H87" s="2783"/>
      <c r="I87" s="2783"/>
      <c r="J87" s="2783"/>
      <c r="K87" s="2783"/>
      <c r="L87" s="2783"/>
      <c r="M87" s="2783"/>
      <c r="N87" s="2789"/>
    </row>
    <row r="88" spans="1:14">
      <c r="A88" s="3203"/>
      <c r="B88" s="3203"/>
      <c r="C88" s="3203"/>
      <c r="D88" s="2786"/>
      <c r="E88" s="2786"/>
      <c r="F88" s="2786"/>
      <c r="G88" s="2786"/>
      <c r="H88" s="3204"/>
      <c r="I88" s="3204"/>
      <c r="J88" s="3204"/>
      <c r="K88" s="2786"/>
      <c r="L88" s="2787"/>
      <c r="M88" s="2786"/>
      <c r="N88" s="2789"/>
    </row>
    <row r="89" spans="1:14">
      <c r="A89" s="2791"/>
      <c r="B89" s="2791"/>
      <c r="C89" s="2791"/>
      <c r="D89" s="2791"/>
      <c r="E89" s="3200" t="s">
        <v>2412</v>
      </c>
      <c r="F89" s="3200"/>
      <c r="G89" s="2791"/>
      <c r="H89" s="3201">
        <v>8.0045999999999999</v>
      </c>
      <c r="I89" s="3201"/>
      <c r="J89" s="3201"/>
      <c r="K89" s="2783"/>
      <c r="L89" s="3201">
        <v>439.74</v>
      </c>
      <c r="M89" s="2783"/>
      <c r="N89" s="2789"/>
    </row>
    <row r="90" spans="1:14">
      <c r="A90" s="2791"/>
      <c r="B90" s="2791"/>
      <c r="C90" s="2791"/>
      <c r="D90" s="2791"/>
      <c r="E90" s="2791"/>
      <c r="F90" s="2791"/>
      <c r="G90" s="2791"/>
      <c r="H90" s="3201"/>
      <c r="I90" s="3201"/>
      <c r="J90" s="3201"/>
      <c r="K90" s="2783"/>
      <c r="L90" s="3201"/>
      <c r="M90" s="2783"/>
      <c r="N90" s="2789"/>
    </row>
  </sheetData>
  <mergeCells count="90">
    <mergeCell ref="L89:L90"/>
    <mergeCell ref="E80:F80"/>
    <mergeCell ref="H80:J81"/>
    <mergeCell ref="L80:L81"/>
    <mergeCell ref="H84:I84"/>
    <mergeCell ref="K84:L85"/>
    <mergeCell ref="C86:I86"/>
    <mergeCell ref="A88:C88"/>
    <mergeCell ref="H88:J88"/>
    <mergeCell ref="E89:F89"/>
    <mergeCell ref="H89:J90"/>
    <mergeCell ref="N84:N85"/>
    <mergeCell ref="H75:I75"/>
    <mergeCell ref="K75:L76"/>
    <mergeCell ref="N75:N76"/>
    <mergeCell ref="C77:I77"/>
    <mergeCell ref="A79:C79"/>
    <mergeCell ref="H79:J79"/>
    <mergeCell ref="L71:L72"/>
    <mergeCell ref="E62:F62"/>
    <mergeCell ref="H62:J63"/>
    <mergeCell ref="L62:L63"/>
    <mergeCell ref="H66:I66"/>
    <mergeCell ref="K66:L67"/>
    <mergeCell ref="C68:I68"/>
    <mergeCell ref="A70:C70"/>
    <mergeCell ref="H70:J70"/>
    <mergeCell ref="E71:F71"/>
    <mergeCell ref="H71:J72"/>
    <mergeCell ref="N66:N67"/>
    <mergeCell ref="H57:I57"/>
    <mergeCell ref="K57:L58"/>
    <mergeCell ref="N57:N58"/>
    <mergeCell ref="C59:I59"/>
    <mergeCell ref="A61:C61"/>
    <mergeCell ref="H61:J61"/>
    <mergeCell ref="L53:L54"/>
    <mergeCell ref="E44:F44"/>
    <mergeCell ref="H44:J45"/>
    <mergeCell ref="L44:L45"/>
    <mergeCell ref="H48:I48"/>
    <mergeCell ref="K48:L49"/>
    <mergeCell ref="C50:I50"/>
    <mergeCell ref="A52:C52"/>
    <mergeCell ref="H52:J52"/>
    <mergeCell ref="E53:F53"/>
    <mergeCell ref="H53:J54"/>
    <mergeCell ref="N48:N49"/>
    <mergeCell ref="H39:I39"/>
    <mergeCell ref="K39:L40"/>
    <mergeCell ref="N39:N40"/>
    <mergeCell ref="C41:I41"/>
    <mergeCell ref="A43:C43"/>
    <mergeCell ref="H43:J43"/>
    <mergeCell ref="L35:L36"/>
    <mergeCell ref="E26:F26"/>
    <mergeCell ref="H26:J27"/>
    <mergeCell ref="L26:L27"/>
    <mergeCell ref="H30:I30"/>
    <mergeCell ref="K30:L31"/>
    <mergeCell ref="C32:I32"/>
    <mergeCell ref="A34:C34"/>
    <mergeCell ref="H34:J34"/>
    <mergeCell ref="E35:F35"/>
    <mergeCell ref="H35:J36"/>
    <mergeCell ref="N30:N31"/>
    <mergeCell ref="H21:I21"/>
    <mergeCell ref="K21:L22"/>
    <mergeCell ref="N21:N22"/>
    <mergeCell ref="C23:I23"/>
    <mergeCell ref="A25:C25"/>
    <mergeCell ref="H25:J25"/>
    <mergeCell ref="L17:L18"/>
    <mergeCell ref="E8:F8"/>
    <mergeCell ref="H8:J9"/>
    <mergeCell ref="L8:L9"/>
    <mergeCell ref="H12:I12"/>
    <mergeCell ref="K12:L13"/>
    <mergeCell ref="C14:I14"/>
    <mergeCell ref="A16:C16"/>
    <mergeCell ref="H16:J16"/>
    <mergeCell ref="E17:F17"/>
    <mergeCell ref="H17:J18"/>
    <mergeCell ref="N12:N13"/>
    <mergeCell ref="H3:I3"/>
    <mergeCell ref="K3:L4"/>
    <mergeCell ref="N3:N4"/>
    <mergeCell ref="C5:I5"/>
    <mergeCell ref="A7:C7"/>
    <mergeCell ref="H7:J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workbookViewId="0">
      <selection activeCell="N84" sqref="N84:N85"/>
    </sheetView>
  </sheetViews>
  <sheetFormatPr defaultRowHeight="15.75"/>
  <cols>
    <col min="3" max="3" width="35.5" customWidth="1"/>
  </cols>
  <sheetData>
    <row r="1" spans="1:12" ht="27">
      <c r="A1" s="2780" t="s">
        <v>2408</v>
      </c>
      <c r="B1" s="2781"/>
      <c r="C1" s="2780" t="s">
        <v>671</v>
      </c>
      <c r="D1" s="2781"/>
      <c r="E1" s="2780" t="s">
        <v>2409</v>
      </c>
      <c r="F1" s="2781"/>
      <c r="G1" s="2782"/>
      <c r="H1" s="2782"/>
      <c r="I1" s="2782"/>
      <c r="J1" s="2782"/>
      <c r="K1" s="2782"/>
      <c r="L1" s="2782"/>
    </row>
    <row r="2" spans="1:12">
      <c r="A2" s="2783"/>
      <c r="B2" s="2783"/>
      <c r="C2" s="2783"/>
      <c r="D2" s="2783"/>
      <c r="E2" s="2783"/>
      <c r="F2" s="2783"/>
      <c r="G2" s="2783"/>
      <c r="H2" s="2783"/>
      <c r="I2" s="2783"/>
      <c r="J2" s="2783"/>
      <c r="K2" s="2783"/>
      <c r="L2" s="2783"/>
    </row>
    <row r="3" spans="1:12">
      <c r="A3" s="2784"/>
      <c r="B3" s="2782"/>
      <c r="C3" s="2782"/>
      <c r="D3" s="2782"/>
      <c r="E3" s="2782"/>
      <c r="F3" s="2782"/>
      <c r="G3" s="2782"/>
      <c r="H3" s="3200" t="s">
        <v>2410</v>
      </c>
      <c r="I3" s="3200"/>
      <c r="J3" s="2783"/>
      <c r="K3" s="3201">
        <v>5.3E-3</v>
      </c>
      <c r="L3" s="3201"/>
    </row>
    <row r="4" spans="1:12">
      <c r="A4" s="2782"/>
      <c r="B4" s="2782"/>
      <c r="C4" s="2782"/>
      <c r="D4" s="2782"/>
      <c r="E4" s="2782"/>
      <c r="F4" s="2782"/>
      <c r="G4" s="2782"/>
      <c r="H4" s="2783"/>
      <c r="I4" s="2783"/>
      <c r="J4" s="2783"/>
      <c r="K4" s="3201"/>
      <c r="L4" s="3201"/>
    </row>
    <row r="5" spans="1:12">
      <c r="A5" s="2785">
        <v>2300</v>
      </c>
      <c r="B5" s="2783"/>
      <c r="C5" s="3202" t="s">
        <v>2411</v>
      </c>
      <c r="D5" s="3202"/>
      <c r="E5" s="3202"/>
      <c r="F5" s="3202"/>
      <c r="G5" s="3202"/>
      <c r="H5" s="3202"/>
      <c r="I5" s="3202"/>
      <c r="J5" s="2783"/>
      <c r="K5" s="2783"/>
      <c r="L5" s="2783"/>
    </row>
    <row r="6" spans="1:12">
      <c r="A6" s="2783"/>
      <c r="B6" s="2783"/>
      <c r="C6" s="2783"/>
      <c r="D6" s="2783"/>
      <c r="E6" s="2783"/>
      <c r="F6" s="2783"/>
      <c r="G6" s="2783"/>
      <c r="H6" s="2783"/>
      <c r="I6" s="2783"/>
      <c r="J6" s="2783"/>
      <c r="K6" s="2783"/>
      <c r="L6" s="2783"/>
    </row>
    <row r="7" spans="1:12">
      <c r="A7" s="3203"/>
      <c r="B7" s="3203"/>
      <c r="C7" s="3203"/>
      <c r="D7" s="2786"/>
      <c r="E7" s="2786"/>
      <c r="F7" s="2786"/>
      <c r="G7" s="2786"/>
      <c r="H7" s="3204"/>
      <c r="I7" s="3204"/>
      <c r="J7" s="3204"/>
      <c r="K7" s="2786"/>
      <c r="L7" s="2787"/>
    </row>
    <row r="8" spans="1:12">
      <c r="A8" s="2784"/>
      <c r="B8" s="2784"/>
      <c r="C8" s="2784"/>
      <c r="D8" s="2784"/>
      <c r="E8" s="3200" t="s">
        <v>2412</v>
      </c>
      <c r="F8" s="3200"/>
      <c r="G8" s="2784"/>
      <c r="H8" s="3201">
        <v>5.3E-3</v>
      </c>
      <c r="I8" s="3201"/>
      <c r="J8" s="3201"/>
      <c r="K8" s="2783"/>
      <c r="L8" s="3201">
        <v>0.28999999999999998</v>
      </c>
    </row>
    <row r="9" spans="1:12">
      <c r="A9" s="2784"/>
      <c r="B9" s="2784"/>
      <c r="C9" s="2784"/>
      <c r="D9" s="2784"/>
      <c r="E9" s="2784"/>
      <c r="F9" s="2784"/>
      <c r="G9" s="2784"/>
      <c r="H9" s="3201"/>
      <c r="I9" s="3201"/>
      <c r="J9" s="3201"/>
      <c r="K9" s="2783"/>
      <c r="L9" s="3201"/>
    </row>
    <row r="10" spans="1:12" ht="27">
      <c r="A10" s="2780" t="s">
        <v>2408</v>
      </c>
      <c r="B10" s="2781"/>
      <c r="C10" s="2780" t="s">
        <v>671</v>
      </c>
      <c r="D10" s="2781"/>
      <c r="E10" s="2780" t="s">
        <v>2409</v>
      </c>
      <c r="F10" s="2781"/>
      <c r="G10" s="2782"/>
      <c r="H10" s="2782"/>
      <c r="I10" s="2782"/>
      <c r="J10" s="2782"/>
      <c r="K10" s="2782"/>
      <c r="L10" s="2782"/>
    </row>
    <row r="11" spans="1:12">
      <c r="A11" s="2783"/>
      <c r="B11" s="2783"/>
      <c r="C11" s="2783"/>
      <c r="D11" s="2783"/>
      <c r="E11" s="2783"/>
      <c r="F11" s="2783"/>
      <c r="G11" s="2783"/>
      <c r="H11" s="2783"/>
      <c r="I11" s="2783"/>
      <c r="J11" s="2783"/>
      <c r="K11" s="2783"/>
      <c r="L11" s="2783"/>
    </row>
    <row r="12" spans="1:12">
      <c r="A12" s="2784"/>
      <c r="B12" s="2782"/>
      <c r="C12" s="2782"/>
      <c r="D12" s="2782"/>
      <c r="E12" s="2782"/>
      <c r="F12" s="2782"/>
      <c r="G12" s="2782"/>
      <c r="H12" s="3200" t="s">
        <v>2410</v>
      </c>
      <c r="I12" s="3200"/>
      <c r="J12" s="2783"/>
      <c r="K12" s="3201">
        <v>0</v>
      </c>
      <c r="L12" s="3201"/>
    </row>
    <row r="13" spans="1:12">
      <c r="A13" s="2782"/>
      <c r="B13" s="2782"/>
      <c r="C13" s="2782"/>
      <c r="D13" s="2782"/>
      <c r="E13" s="2782"/>
      <c r="F13" s="2782"/>
      <c r="G13" s="2782"/>
      <c r="H13" s="2783"/>
      <c r="I13" s="2783"/>
      <c r="J13" s="2783"/>
      <c r="K13" s="3201"/>
      <c r="L13" s="3201"/>
    </row>
    <row r="14" spans="1:12">
      <c r="A14" s="2785">
        <v>5178</v>
      </c>
      <c r="B14" s="2783"/>
      <c r="C14" s="3202" t="s">
        <v>2411</v>
      </c>
      <c r="D14" s="3202"/>
      <c r="E14" s="3202"/>
      <c r="F14" s="3202"/>
      <c r="G14" s="3202"/>
      <c r="H14" s="3202"/>
      <c r="I14" s="3202"/>
      <c r="J14" s="2783"/>
      <c r="K14" s="2783"/>
      <c r="L14" s="2783"/>
    </row>
    <row r="15" spans="1:12">
      <c r="A15" s="2783"/>
      <c r="B15" s="2783"/>
      <c r="C15" s="2783"/>
      <c r="D15" s="2783"/>
      <c r="E15" s="2783"/>
      <c r="F15" s="2783"/>
      <c r="G15" s="2783"/>
      <c r="H15" s="2783"/>
      <c r="I15" s="2783"/>
      <c r="J15" s="2783"/>
      <c r="K15" s="2783"/>
      <c r="L15" s="2783"/>
    </row>
    <row r="16" spans="1:12">
      <c r="A16" s="3203"/>
      <c r="B16" s="3203"/>
      <c r="C16" s="3203"/>
      <c r="D16" s="2786"/>
      <c r="E16" s="2786"/>
      <c r="F16" s="2786"/>
      <c r="G16" s="2786"/>
      <c r="H16" s="3204"/>
      <c r="I16" s="3204"/>
      <c r="J16" s="3204"/>
      <c r="K16" s="2786"/>
      <c r="L16" s="2787"/>
    </row>
    <row r="17" spans="1:12">
      <c r="A17" s="2784"/>
      <c r="B17" s="2784"/>
      <c r="C17" s="2784"/>
      <c r="D17" s="2784"/>
      <c r="E17" s="3200" t="s">
        <v>2412</v>
      </c>
      <c r="F17" s="3200"/>
      <c r="G17" s="2784"/>
      <c r="H17" s="3201">
        <v>0</v>
      </c>
      <c r="I17" s="3201"/>
      <c r="J17" s="3201"/>
      <c r="K17" s="2783"/>
      <c r="L17" s="3201">
        <v>0</v>
      </c>
    </row>
    <row r="18" spans="1:12">
      <c r="A18" s="2784"/>
      <c r="B18" s="2784"/>
      <c r="C18" s="2784"/>
      <c r="D18" s="2784"/>
      <c r="E18" s="2784"/>
      <c r="F18" s="2784"/>
      <c r="G18" s="2784"/>
      <c r="H18" s="3201"/>
      <c r="I18" s="3201"/>
      <c r="J18" s="3201"/>
      <c r="K18" s="2783"/>
      <c r="L18" s="3201"/>
    </row>
    <row r="19" spans="1:12" ht="27">
      <c r="A19" s="2780" t="s">
        <v>2408</v>
      </c>
      <c r="B19" s="2781"/>
      <c r="C19" s="2780" t="s">
        <v>671</v>
      </c>
      <c r="D19" s="2781"/>
      <c r="E19" s="2780" t="s">
        <v>2409</v>
      </c>
      <c r="F19" s="2781"/>
      <c r="G19" s="2782"/>
      <c r="H19" s="2782"/>
      <c r="I19" s="2782"/>
      <c r="J19" s="2782"/>
      <c r="K19" s="2782"/>
      <c r="L19" s="2782"/>
    </row>
    <row r="20" spans="1:12">
      <c r="A20" s="2783"/>
      <c r="B20" s="2783"/>
      <c r="C20" s="2783"/>
      <c r="D20" s="2783"/>
      <c r="E20" s="2783"/>
      <c r="F20" s="2783"/>
      <c r="G20" s="2783"/>
      <c r="H20" s="2783"/>
      <c r="I20" s="2783"/>
      <c r="J20" s="2783"/>
      <c r="K20" s="2783"/>
      <c r="L20" s="2783"/>
    </row>
    <row r="21" spans="1:12">
      <c r="A21" s="2784"/>
      <c r="B21" s="2782"/>
      <c r="C21" s="2782"/>
      <c r="D21" s="2782"/>
      <c r="E21" s="2782"/>
      <c r="F21" s="2782"/>
      <c r="G21" s="2782"/>
      <c r="H21" s="3200" t="s">
        <v>2410</v>
      </c>
      <c r="I21" s="3200"/>
      <c r="J21" s="2783"/>
      <c r="K21" s="3201">
        <v>0</v>
      </c>
      <c r="L21" s="3201"/>
    </row>
    <row r="22" spans="1:12">
      <c r="A22" s="2782"/>
      <c r="B22" s="2782"/>
      <c r="C22" s="2782"/>
      <c r="D22" s="2782"/>
      <c r="E22" s="2782"/>
      <c r="F22" s="2782"/>
      <c r="G22" s="2782"/>
      <c r="H22" s="2783"/>
      <c r="I22" s="2783"/>
      <c r="J22" s="2783"/>
      <c r="K22" s="3201"/>
      <c r="L22" s="3201"/>
    </row>
    <row r="23" spans="1:12">
      <c r="A23" s="2785">
        <v>31791</v>
      </c>
      <c r="B23" s="2783"/>
      <c r="C23" s="3202" t="s">
        <v>2413</v>
      </c>
      <c r="D23" s="3202"/>
      <c r="E23" s="3202"/>
      <c r="F23" s="3202"/>
      <c r="G23" s="3202"/>
      <c r="H23" s="3202"/>
      <c r="I23" s="3202"/>
      <c r="J23" s="2783"/>
      <c r="K23" s="2783"/>
      <c r="L23" s="2783"/>
    </row>
    <row r="24" spans="1:12">
      <c r="A24" s="2783"/>
      <c r="B24" s="2783"/>
      <c r="C24" s="2783"/>
      <c r="D24" s="2783"/>
      <c r="E24" s="2783"/>
      <c r="F24" s="2783"/>
      <c r="G24" s="2783"/>
      <c r="H24" s="2783"/>
      <c r="I24" s="2783"/>
      <c r="J24" s="2783"/>
      <c r="K24" s="2783"/>
      <c r="L24" s="2783"/>
    </row>
    <row r="25" spans="1:12">
      <c r="A25" s="3203"/>
      <c r="B25" s="3203"/>
      <c r="C25" s="3203"/>
      <c r="D25" s="2786"/>
      <c r="E25" s="2786"/>
      <c r="F25" s="2786"/>
      <c r="G25" s="2786"/>
      <c r="H25" s="3204"/>
      <c r="I25" s="3204"/>
      <c r="J25" s="3204"/>
      <c r="K25" s="2786"/>
      <c r="L25" s="2787"/>
    </row>
    <row r="26" spans="1:12">
      <c r="A26" s="2784"/>
      <c r="B26" s="2784"/>
      <c r="C26" s="2784"/>
      <c r="D26" s="2784"/>
      <c r="E26" s="3200" t="s">
        <v>2412</v>
      </c>
      <c r="F26" s="3200"/>
      <c r="G26" s="2784"/>
      <c r="H26" s="3201">
        <v>0</v>
      </c>
      <c r="I26" s="3201"/>
      <c r="J26" s="3201"/>
      <c r="K26" s="2783"/>
      <c r="L26" s="3201">
        <v>0</v>
      </c>
    </row>
    <row r="27" spans="1:12">
      <c r="A27" s="2784"/>
      <c r="B27" s="2784"/>
      <c r="C27" s="2784"/>
      <c r="D27" s="2784"/>
      <c r="E27" s="2784"/>
      <c r="F27" s="2784"/>
      <c r="G27" s="2784"/>
      <c r="H27" s="3201"/>
      <c r="I27" s="3201"/>
      <c r="J27" s="3201"/>
      <c r="K27" s="2783"/>
      <c r="L27" s="3201"/>
    </row>
    <row r="28" spans="1:12" ht="27">
      <c r="A28" s="2780" t="s">
        <v>2408</v>
      </c>
      <c r="B28" s="2781"/>
      <c r="C28" s="2780" t="s">
        <v>671</v>
      </c>
      <c r="D28" s="2781"/>
      <c r="E28" s="2780" t="s">
        <v>2409</v>
      </c>
      <c r="F28" s="2781"/>
      <c r="G28" s="2782"/>
      <c r="H28" s="2782"/>
      <c r="I28" s="2782"/>
      <c r="J28" s="2782"/>
      <c r="K28" s="2782"/>
      <c r="L28" s="2782"/>
    </row>
    <row r="29" spans="1:12">
      <c r="A29" s="2783"/>
      <c r="B29" s="2783"/>
      <c r="C29" s="2783"/>
      <c r="D29" s="2783"/>
      <c r="E29" s="2783"/>
      <c r="F29" s="2783"/>
      <c r="G29" s="2783"/>
      <c r="H29" s="2783"/>
      <c r="I29" s="2783"/>
      <c r="J29" s="2783"/>
      <c r="K29" s="2783"/>
      <c r="L29" s="2783"/>
    </row>
    <row r="30" spans="1:12">
      <c r="A30" s="2784"/>
      <c r="B30" s="2782"/>
      <c r="C30" s="2782"/>
      <c r="D30" s="2782"/>
      <c r="E30" s="2782"/>
      <c r="F30" s="2782"/>
      <c r="G30" s="2782"/>
      <c r="H30" s="3200" t="s">
        <v>2410</v>
      </c>
      <c r="I30" s="3200"/>
      <c r="J30" s="2783"/>
      <c r="K30" s="3201">
        <v>1E-4</v>
      </c>
      <c r="L30" s="3201"/>
    </row>
    <row r="31" spans="1:12">
      <c r="A31" s="2782"/>
      <c r="B31" s="2782"/>
      <c r="C31" s="2782"/>
      <c r="D31" s="2782"/>
      <c r="E31" s="2782"/>
      <c r="F31" s="2782"/>
      <c r="G31" s="2782"/>
      <c r="H31" s="2783"/>
      <c r="I31" s="2783"/>
      <c r="J31" s="2783"/>
      <c r="K31" s="3201"/>
      <c r="L31" s="3201"/>
    </row>
    <row r="32" spans="1:12">
      <c r="A32" s="2785">
        <v>40568</v>
      </c>
      <c r="B32" s="2783"/>
      <c r="C32" s="3202" t="s">
        <v>2414</v>
      </c>
      <c r="D32" s="3202"/>
      <c r="E32" s="3202"/>
      <c r="F32" s="3202"/>
      <c r="G32" s="3202"/>
      <c r="H32" s="3202"/>
      <c r="I32" s="3202"/>
      <c r="J32" s="2783"/>
      <c r="K32" s="2783"/>
      <c r="L32" s="2783"/>
    </row>
    <row r="33" spans="1:12">
      <c r="A33" s="2783"/>
      <c r="B33" s="2783"/>
      <c r="C33" s="2783"/>
      <c r="D33" s="2783"/>
      <c r="E33" s="2783"/>
      <c r="F33" s="2783"/>
      <c r="G33" s="2783"/>
      <c r="H33" s="2783"/>
      <c r="I33" s="2783"/>
      <c r="J33" s="2783"/>
      <c r="K33" s="2783"/>
      <c r="L33" s="2783"/>
    </row>
    <row r="34" spans="1:12">
      <c r="A34" s="3203"/>
      <c r="B34" s="3203"/>
      <c r="C34" s="3203"/>
      <c r="D34" s="2786"/>
      <c r="E34" s="2786"/>
      <c r="F34" s="2786"/>
      <c r="G34" s="2786"/>
      <c r="H34" s="3204"/>
      <c r="I34" s="3204"/>
      <c r="J34" s="3204"/>
      <c r="K34" s="2786"/>
      <c r="L34" s="2787"/>
    </row>
    <row r="35" spans="1:12">
      <c r="A35" s="2784"/>
      <c r="B35" s="2784"/>
      <c r="C35" s="2784"/>
      <c r="D35" s="2784"/>
      <c r="E35" s="3200" t="s">
        <v>2412</v>
      </c>
      <c r="F35" s="3200"/>
      <c r="G35" s="2784"/>
      <c r="H35" s="3201">
        <v>1E-4</v>
      </c>
      <c r="I35" s="3201"/>
      <c r="J35" s="3201"/>
      <c r="K35" s="2783"/>
      <c r="L35" s="3201">
        <v>0.01</v>
      </c>
    </row>
    <row r="36" spans="1:12">
      <c r="A36" s="2784"/>
      <c r="B36" s="2784"/>
      <c r="C36" s="2784"/>
      <c r="D36" s="2784"/>
      <c r="E36" s="2784"/>
      <c r="F36" s="2784"/>
      <c r="G36" s="2784"/>
      <c r="H36" s="3201"/>
      <c r="I36" s="3201"/>
      <c r="J36" s="3201"/>
      <c r="K36" s="2783"/>
      <c r="L36" s="3201"/>
    </row>
    <row r="37" spans="1:12" ht="27">
      <c r="A37" s="2780" t="s">
        <v>2408</v>
      </c>
      <c r="B37" s="2781"/>
      <c r="C37" s="2780" t="s">
        <v>671</v>
      </c>
      <c r="D37" s="2781"/>
      <c r="E37" s="2780" t="s">
        <v>2409</v>
      </c>
      <c r="F37" s="2781"/>
      <c r="G37" s="2782"/>
      <c r="H37" s="2782"/>
      <c r="I37" s="2782"/>
      <c r="J37" s="2782"/>
      <c r="K37" s="2782"/>
      <c r="L37" s="2782"/>
    </row>
    <row r="38" spans="1:12">
      <c r="A38" s="2783"/>
      <c r="B38" s="2783"/>
      <c r="C38" s="2783"/>
      <c r="D38" s="2783"/>
      <c r="E38" s="2783"/>
      <c r="F38" s="2783"/>
      <c r="G38" s="2783"/>
      <c r="H38" s="2783"/>
      <c r="I38" s="2783"/>
      <c r="J38" s="2783"/>
      <c r="K38" s="2783"/>
      <c r="L38" s="2783"/>
    </row>
    <row r="39" spans="1:12">
      <c r="A39" s="2784"/>
      <c r="B39" s="2782"/>
      <c r="C39" s="2782"/>
      <c r="D39" s="2782"/>
      <c r="E39" s="2782"/>
      <c r="F39" s="2782"/>
      <c r="G39" s="2782"/>
      <c r="H39" s="3200" t="s">
        <v>2410</v>
      </c>
      <c r="I39" s="3200"/>
      <c r="J39" s="2783"/>
      <c r="K39" s="3201">
        <v>3.61E-2</v>
      </c>
      <c r="L39" s="3201"/>
    </row>
    <row r="40" spans="1:12">
      <c r="A40" s="2782"/>
      <c r="B40" s="2782"/>
      <c r="C40" s="2782"/>
      <c r="D40" s="2782"/>
      <c r="E40" s="2782"/>
      <c r="F40" s="2782"/>
      <c r="G40" s="2782"/>
      <c r="H40" s="2783"/>
      <c r="I40" s="2783"/>
      <c r="J40" s="2783"/>
      <c r="K40" s="3201"/>
      <c r="L40" s="3201"/>
    </row>
    <row r="41" spans="1:12">
      <c r="A41" s="2785">
        <v>35647</v>
      </c>
      <c r="B41" s="2783"/>
      <c r="C41" s="3202" t="s">
        <v>2415</v>
      </c>
      <c r="D41" s="3202"/>
      <c r="E41" s="3202"/>
      <c r="F41" s="3202"/>
      <c r="G41" s="3202"/>
      <c r="H41" s="3202"/>
      <c r="I41" s="3202"/>
      <c r="J41" s="2783"/>
      <c r="K41" s="2783"/>
      <c r="L41" s="2783"/>
    </row>
    <row r="42" spans="1:12">
      <c r="A42" s="2783"/>
      <c r="B42" s="2783"/>
      <c r="C42" s="2783"/>
      <c r="D42" s="2783"/>
      <c r="E42" s="2783"/>
      <c r="F42" s="2783"/>
      <c r="G42" s="2783"/>
      <c r="H42" s="2783"/>
      <c r="I42" s="2783"/>
      <c r="J42" s="2783"/>
      <c r="K42" s="2783"/>
      <c r="L42" s="2783"/>
    </row>
    <row r="43" spans="1:12">
      <c r="A43" s="3203"/>
      <c r="B43" s="3203"/>
      <c r="C43" s="3203"/>
      <c r="D43" s="2786"/>
      <c r="E43" s="2786"/>
      <c r="F43" s="2786"/>
      <c r="G43" s="2786"/>
      <c r="H43" s="3204"/>
      <c r="I43" s="3204"/>
      <c r="J43" s="3204"/>
      <c r="K43" s="2786"/>
      <c r="L43" s="2787"/>
    </row>
    <row r="44" spans="1:12">
      <c r="A44" s="2784"/>
      <c r="B44" s="2784"/>
      <c r="C44" s="2784"/>
      <c r="D44" s="2784"/>
      <c r="E44" s="3200" t="s">
        <v>2412</v>
      </c>
      <c r="F44" s="3200"/>
      <c r="G44" s="2784"/>
      <c r="H44" s="3201">
        <v>3.61E-2</v>
      </c>
      <c r="I44" s="3201"/>
      <c r="J44" s="3201"/>
      <c r="K44" s="2783"/>
      <c r="L44" s="3201">
        <v>1.98</v>
      </c>
    </row>
    <row r="45" spans="1:12">
      <c r="A45" s="2784"/>
      <c r="B45" s="2784"/>
      <c r="C45" s="2784"/>
      <c r="D45" s="2784"/>
      <c r="E45" s="2784"/>
      <c r="F45" s="2784"/>
      <c r="G45" s="2784"/>
      <c r="H45" s="3201"/>
      <c r="I45" s="3201"/>
      <c r="J45" s="3201"/>
      <c r="K45" s="2783"/>
      <c r="L45" s="3201"/>
    </row>
    <row r="46" spans="1:12" ht="27">
      <c r="A46" s="2780" t="s">
        <v>2408</v>
      </c>
      <c r="B46" s="2781"/>
      <c r="C46" s="2780" t="s">
        <v>671</v>
      </c>
      <c r="D46" s="2781"/>
      <c r="E46" s="2780" t="s">
        <v>2409</v>
      </c>
      <c r="F46" s="2781"/>
      <c r="G46" s="2782"/>
      <c r="H46" s="2782"/>
      <c r="I46" s="2782"/>
      <c r="J46" s="2782"/>
      <c r="K46" s="2782"/>
      <c r="L46" s="2782"/>
    </row>
    <row r="47" spans="1:12">
      <c r="A47" s="2783"/>
      <c r="B47" s="2783"/>
      <c r="C47" s="2783"/>
      <c r="D47" s="2783"/>
      <c r="E47" s="2783"/>
      <c r="F47" s="2783"/>
      <c r="G47" s="2783"/>
      <c r="H47" s="2783"/>
      <c r="I47" s="2783"/>
      <c r="J47" s="2783"/>
      <c r="K47" s="2783"/>
      <c r="L47" s="2783"/>
    </row>
    <row r="48" spans="1:12">
      <c r="A48" s="2784"/>
      <c r="B48" s="2782"/>
      <c r="C48" s="2782"/>
      <c r="D48" s="2782"/>
      <c r="E48" s="2782"/>
      <c r="F48" s="2782"/>
      <c r="G48" s="2782"/>
      <c r="H48" s="3200" t="s">
        <v>2410</v>
      </c>
      <c r="I48" s="3200"/>
      <c r="J48" s="2783"/>
      <c r="K48" s="3201">
        <v>0</v>
      </c>
      <c r="L48" s="3201"/>
    </row>
    <row r="49" spans="1:12">
      <c r="A49" s="2782"/>
      <c r="B49" s="2782"/>
      <c r="C49" s="2782"/>
      <c r="D49" s="2782"/>
      <c r="E49" s="2782"/>
      <c r="F49" s="2782"/>
      <c r="G49" s="2782"/>
      <c r="H49" s="2783"/>
      <c r="I49" s="2783"/>
      <c r="J49" s="2783"/>
      <c r="K49" s="3201"/>
      <c r="L49" s="3201"/>
    </row>
    <row r="50" spans="1:12">
      <c r="A50" s="2785">
        <v>50602</v>
      </c>
      <c r="B50" s="2783"/>
      <c r="C50" s="3202" t="s">
        <v>2411</v>
      </c>
      <c r="D50" s="3202"/>
      <c r="E50" s="3202"/>
      <c r="F50" s="3202"/>
      <c r="G50" s="3202"/>
      <c r="H50" s="3202"/>
      <c r="I50" s="3202"/>
      <c r="J50" s="2783"/>
      <c r="K50" s="2783"/>
      <c r="L50" s="2783"/>
    </row>
    <row r="51" spans="1:12">
      <c r="A51" s="2783"/>
      <c r="B51" s="2783"/>
      <c r="C51" s="2783"/>
      <c r="D51" s="2783"/>
      <c r="E51" s="2783"/>
      <c r="F51" s="2783"/>
      <c r="G51" s="2783"/>
      <c r="H51" s="2783"/>
      <c r="I51" s="2783"/>
      <c r="J51" s="2783"/>
      <c r="K51" s="2783"/>
      <c r="L51" s="2783"/>
    </row>
    <row r="52" spans="1:12">
      <c r="A52" s="3203"/>
      <c r="B52" s="3203"/>
      <c r="C52" s="3203"/>
      <c r="D52" s="2786"/>
      <c r="E52" s="2786"/>
      <c r="F52" s="2786"/>
      <c r="G52" s="2786"/>
      <c r="H52" s="3204"/>
      <c r="I52" s="3204"/>
      <c r="J52" s="3204"/>
      <c r="K52" s="2786"/>
      <c r="L52" s="2787"/>
    </row>
    <row r="53" spans="1:12">
      <c r="A53" s="2784"/>
      <c r="B53" s="2784"/>
      <c r="C53" s="2784"/>
      <c r="D53" s="2784"/>
      <c r="E53" s="3200" t="s">
        <v>2412</v>
      </c>
      <c r="F53" s="3200"/>
      <c r="G53" s="2784"/>
      <c r="H53" s="3201">
        <v>0</v>
      </c>
      <c r="I53" s="3201"/>
      <c r="J53" s="3201"/>
      <c r="K53" s="2783"/>
      <c r="L53" s="3201">
        <v>0</v>
      </c>
    </row>
    <row r="54" spans="1:12">
      <c r="A54" s="2784"/>
      <c r="B54" s="2784"/>
      <c r="C54" s="2784"/>
      <c r="D54" s="2784"/>
      <c r="E54" s="2784"/>
      <c r="F54" s="2784"/>
      <c r="G54" s="2784"/>
      <c r="H54" s="3201"/>
      <c r="I54" s="3201"/>
      <c r="J54" s="3201"/>
      <c r="K54" s="2783"/>
      <c r="L54" s="3201"/>
    </row>
    <row r="55" spans="1:12" ht="27">
      <c r="A55" s="2780" t="s">
        <v>2408</v>
      </c>
      <c r="B55" s="2781"/>
      <c r="C55" s="2780" t="s">
        <v>671</v>
      </c>
      <c r="D55" s="2781"/>
      <c r="E55" s="2780" t="s">
        <v>2409</v>
      </c>
      <c r="F55" s="2781"/>
      <c r="G55" s="2782"/>
      <c r="H55" s="2782"/>
      <c r="I55" s="2782"/>
      <c r="J55" s="2782"/>
      <c r="K55" s="2782"/>
      <c r="L55" s="2782"/>
    </row>
    <row r="56" spans="1:12">
      <c r="A56" s="2783"/>
      <c r="B56" s="2783"/>
      <c r="C56" s="2783"/>
      <c r="D56" s="2783"/>
      <c r="E56" s="2783"/>
      <c r="F56" s="2783"/>
      <c r="G56" s="2783"/>
      <c r="H56" s="2783"/>
      <c r="I56" s="2783"/>
      <c r="J56" s="2783"/>
      <c r="K56" s="2783"/>
      <c r="L56" s="2783"/>
    </row>
    <row r="57" spans="1:12">
      <c r="A57" s="2784"/>
      <c r="B57" s="2782"/>
      <c r="C57" s="2782"/>
      <c r="D57" s="2782"/>
      <c r="E57" s="2782"/>
      <c r="F57" s="2782"/>
      <c r="G57" s="2782"/>
      <c r="H57" s="3200" t="s">
        <v>2410</v>
      </c>
      <c r="I57" s="3200"/>
      <c r="J57" s="2783"/>
      <c r="K57" s="3201">
        <v>0</v>
      </c>
      <c r="L57" s="3201"/>
    </row>
    <row r="58" spans="1:12">
      <c r="A58" s="2782"/>
      <c r="B58" s="2782"/>
      <c r="C58" s="2782"/>
      <c r="D58" s="2782"/>
      <c r="E58" s="2782"/>
      <c r="F58" s="2782"/>
      <c r="G58" s="2782"/>
      <c r="H58" s="2783"/>
      <c r="I58" s="2783"/>
      <c r="J58" s="2783"/>
      <c r="K58" s="3201"/>
      <c r="L58" s="3201"/>
    </row>
    <row r="59" spans="1:12">
      <c r="A59" s="2785">
        <v>54545</v>
      </c>
      <c r="B59" s="2783"/>
      <c r="C59" s="3202" t="s">
        <v>2416</v>
      </c>
      <c r="D59" s="3202"/>
      <c r="E59" s="3202"/>
      <c r="F59" s="3202"/>
      <c r="G59" s="3202"/>
      <c r="H59" s="3202"/>
      <c r="I59" s="3202"/>
      <c r="J59" s="2783"/>
      <c r="K59" s="2783"/>
      <c r="L59" s="2783"/>
    </row>
    <row r="60" spans="1:12">
      <c r="A60" s="2783"/>
      <c r="B60" s="2783"/>
      <c r="C60" s="2783"/>
      <c r="D60" s="2783"/>
      <c r="E60" s="2783"/>
      <c r="F60" s="2783"/>
      <c r="G60" s="2783"/>
      <c r="H60" s="2783"/>
      <c r="I60" s="2783"/>
      <c r="J60" s="2783"/>
      <c r="K60" s="2783"/>
      <c r="L60" s="2783"/>
    </row>
    <row r="61" spans="1:12">
      <c r="A61" s="3203"/>
      <c r="B61" s="3203"/>
      <c r="C61" s="3203"/>
      <c r="D61" s="2786"/>
      <c r="E61" s="2786"/>
      <c r="F61" s="2786"/>
      <c r="G61" s="2786"/>
      <c r="H61" s="3204"/>
      <c r="I61" s="3204"/>
      <c r="J61" s="3204"/>
      <c r="K61" s="2786"/>
      <c r="L61" s="2787"/>
    </row>
    <row r="62" spans="1:12">
      <c r="A62" s="2784"/>
      <c r="B62" s="2784"/>
      <c r="C62" s="2784"/>
      <c r="D62" s="2784"/>
      <c r="E62" s="3200" t="s">
        <v>2412</v>
      </c>
      <c r="F62" s="3200"/>
      <c r="G62" s="2784"/>
      <c r="H62" s="3201">
        <v>0</v>
      </c>
      <c r="I62" s="3201"/>
      <c r="J62" s="3201"/>
      <c r="K62" s="2783"/>
      <c r="L62" s="3201">
        <v>0</v>
      </c>
    </row>
    <row r="63" spans="1:12">
      <c r="A63" s="2784"/>
      <c r="B63" s="2784"/>
      <c r="C63" s="2784"/>
      <c r="D63" s="2784"/>
      <c r="E63" s="2784"/>
      <c r="F63" s="2784"/>
      <c r="G63" s="2784"/>
      <c r="H63" s="3201"/>
      <c r="I63" s="3201"/>
      <c r="J63" s="3201"/>
      <c r="K63" s="2783"/>
      <c r="L63" s="3201"/>
    </row>
    <row r="64" spans="1:12" ht="27">
      <c r="A64" s="2780" t="s">
        <v>2408</v>
      </c>
      <c r="B64" s="2781"/>
      <c r="C64" s="2780" t="s">
        <v>671</v>
      </c>
      <c r="D64" s="2781"/>
      <c r="E64" s="2780" t="s">
        <v>2409</v>
      </c>
      <c r="F64" s="2781"/>
      <c r="G64" s="2782"/>
      <c r="H64" s="2782"/>
      <c r="I64" s="2782"/>
      <c r="J64" s="2782"/>
      <c r="K64" s="2782"/>
      <c r="L64" s="2782"/>
    </row>
    <row r="65" spans="1:12">
      <c r="A65" s="2783"/>
      <c r="B65" s="2783"/>
      <c r="C65" s="2783"/>
      <c r="D65" s="2783"/>
      <c r="E65" s="2783"/>
      <c r="F65" s="2783"/>
      <c r="G65" s="2783"/>
      <c r="H65" s="2783"/>
      <c r="I65" s="2783"/>
      <c r="J65" s="2783"/>
      <c r="K65" s="2783"/>
      <c r="L65" s="2783"/>
    </row>
    <row r="66" spans="1:12">
      <c r="A66" s="2784"/>
      <c r="B66" s="2782"/>
      <c r="C66" s="2782"/>
      <c r="D66" s="2782"/>
      <c r="E66" s="2782"/>
      <c r="F66" s="2782"/>
      <c r="G66" s="2782"/>
      <c r="H66" s="3200" t="s">
        <v>2410</v>
      </c>
      <c r="I66" s="3200"/>
      <c r="J66" s="2783"/>
      <c r="K66" s="3201">
        <v>1.7600000000000001E-2</v>
      </c>
      <c r="L66" s="3201"/>
    </row>
    <row r="67" spans="1:12">
      <c r="A67" s="2782"/>
      <c r="B67" s="2782"/>
      <c r="C67" s="2782"/>
      <c r="D67" s="2782"/>
      <c r="E67" s="2782"/>
      <c r="F67" s="2782"/>
      <c r="G67" s="2782"/>
      <c r="H67" s="2783"/>
      <c r="I67" s="2783"/>
      <c r="J67" s="2783"/>
      <c r="K67" s="3201"/>
      <c r="L67" s="3201"/>
    </row>
    <row r="68" spans="1:12">
      <c r="A68" s="2785">
        <v>73898</v>
      </c>
      <c r="B68" s="2783"/>
      <c r="C68" s="3202" t="s">
        <v>2411</v>
      </c>
      <c r="D68" s="3202"/>
      <c r="E68" s="3202"/>
      <c r="F68" s="3202"/>
      <c r="G68" s="3202"/>
      <c r="H68" s="3202"/>
      <c r="I68" s="3202"/>
      <c r="J68" s="2783"/>
      <c r="K68" s="2783"/>
      <c r="L68" s="2783"/>
    </row>
    <row r="69" spans="1:12">
      <c r="A69" s="2783"/>
      <c r="B69" s="2783"/>
      <c r="C69" s="2783"/>
      <c r="D69" s="2783"/>
      <c r="E69" s="2783"/>
      <c r="F69" s="2783"/>
      <c r="G69" s="2783"/>
      <c r="H69" s="2783"/>
      <c r="I69" s="2783"/>
      <c r="J69" s="2783"/>
      <c r="K69" s="2783"/>
      <c r="L69" s="2783"/>
    </row>
    <row r="70" spans="1:12">
      <c r="A70" s="3203"/>
      <c r="B70" s="3203"/>
      <c r="C70" s="3203"/>
      <c r="D70" s="2786"/>
      <c r="E70" s="2786"/>
      <c r="F70" s="2786"/>
      <c r="G70" s="2786"/>
      <c r="H70" s="3204"/>
      <c r="I70" s="3204"/>
      <c r="J70" s="3204"/>
      <c r="K70" s="2786"/>
      <c r="L70" s="2787"/>
    </row>
    <row r="71" spans="1:12">
      <c r="A71" s="2784"/>
      <c r="B71" s="2784"/>
      <c r="C71" s="2784"/>
      <c r="D71" s="2784"/>
      <c r="E71" s="3200" t="s">
        <v>2412</v>
      </c>
      <c r="F71" s="3200"/>
      <c r="G71" s="2784"/>
      <c r="H71" s="3201">
        <v>1.7600000000000001E-2</v>
      </c>
      <c r="I71" s="3201"/>
      <c r="J71" s="3201"/>
      <c r="K71" s="2783"/>
      <c r="L71" s="3201">
        <v>0.97</v>
      </c>
    </row>
    <row r="72" spans="1:12">
      <c r="A72" s="2784"/>
      <c r="B72" s="2784"/>
      <c r="C72" s="2784"/>
      <c r="D72" s="2784"/>
      <c r="E72" s="2784"/>
      <c r="F72" s="2784"/>
      <c r="G72" s="2784"/>
      <c r="H72" s="3201"/>
      <c r="I72" s="3201"/>
      <c r="J72" s="3201"/>
      <c r="K72" s="2783"/>
      <c r="L72" s="3201"/>
    </row>
  </sheetData>
  <mergeCells count="64">
    <mergeCell ref="E71:F71"/>
    <mergeCell ref="H71:J72"/>
    <mergeCell ref="L71:L72"/>
    <mergeCell ref="H57:I57"/>
    <mergeCell ref="K57:L58"/>
    <mergeCell ref="C59:I59"/>
    <mergeCell ref="A61:C61"/>
    <mergeCell ref="H61:J61"/>
    <mergeCell ref="E62:F62"/>
    <mergeCell ref="H62:J63"/>
    <mergeCell ref="L62:L63"/>
    <mergeCell ref="H66:I66"/>
    <mergeCell ref="K66:L67"/>
    <mergeCell ref="C68:I68"/>
    <mergeCell ref="A70:C70"/>
    <mergeCell ref="H70:J70"/>
    <mergeCell ref="E53:F53"/>
    <mergeCell ref="H53:J54"/>
    <mergeCell ref="L53:L54"/>
    <mergeCell ref="H39:I39"/>
    <mergeCell ref="K39:L40"/>
    <mergeCell ref="C41:I41"/>
    <mergeCell ref="A43:C43"/>
    <mergeCell ref="H43:J43"/>
    <mergeCell ref="E44:F44"/>
    <mergeCell ref="H44:J45"/>
    <mergeCell ref="L44:L45"/>
    <mergeCell ref="H48:I48"/>
    <mergeCell ref="K48:L49"/>
    <mergeCell ref="C50:I50"/>
    <mergeCell ref="A52:C52"/>
    <mergeCell ref="H52:J52"/>
    <mergeCell ref="E35:F35"/>
    <mergeCell ref="H35:J36"/>
    <mergeCell ref="L35:L36"/>
    <mergeCell ref="H21:I21"/>
    <mergeCell ref="K21:L22"/>
    <mergeCell ref="C23:I23"/>
    <mergeCell ref="A25:C25"/>
    <mergeCell ref="H25:J25"/>
    <mergeCell ref="E26:F26"/>
    <mergeCell ref="H26:J27"/>
    <mergeCell ref="L26:L27"/>
    <mergeCell ref="H30:I30"/>
    <mergeCell ref="K30:L31"/>
    <mergeCell ref="C32:I32"/>
    <mergeCell ref="A34:C34"/>
    <mergeCell ref="H34:J34"/>
    <mergeCell ref="E17:F17"/>
    <mergeCell ref="H17:J18"/>
    <mergeCell ref="L17:L18"/>
    <mergeCell ref="H3:I3"/>
    <mergeCell ref="K3:L4"/>
    <mergeCell ref="C5:I5"/>
    <mergeCell ref="A7:C7"/>
    <mergeCell ref="H7:J7"/>
    <mergeCell ref="E8:F8"/>
    <mergeCell ref="H8:J9"/>
    <mergeCell ref="L8:L9"/>
    <mergeCell ref="H12:I12"/>
    <mergeCell ref="K12:L13"/>
    <mergeCell ref="C14:I14"/>
    <mergeCell ref="A16:C16"/>
    <mergeCell ref="H16:J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9:F12"/>
  <sheetViews>
    <sheetView workbookViewId="0">
      <selection activeCell="F12" sqref="F12"/>
    </sheetView>
  </sheetViews>
  <sheetFormatPr defaultRowHeight="15.75"/>
  <cols>
    <col min="6" max="6" width="13.25" customWidth="1"/>
  </cols>
  <sheetData>
    <row r="9" spans="6:6">
      <c r="F9" s="1541">
        <v>12367</v>
      </c>
    </row>
    <row r="10" spans="6:6">
      <c r="F10" s="1541">
        <v>-53946</v>
      </c>
    </row>
    <row r="11" spans="6:6">
      <c r="F11" s="1541">
        <v>5050251</v>
      </c>
    </row>
    <row r="12" spans="6:6">
      <c r="F12" s="1542">
        <f>SUM(F9:F11)</f>
        <v>5008672</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
  <sheetViews>
    <sheetView topLeftCell="A183" workbookViewId="0">
      <selection activeCell="N84" sqref="N84:N85"/>
    </sheetView>
  </sheetViews>
  <sheetFormatPr defaultColWidth="9" defaultRowHeight="15.75"/>
  <cols>
    <col min="1" max="2" width="9" style="2790"/>
    <col min="3" max="3" width="39.625" style="2790" customWidth="1"/>
    <col min="4" max="16384" width="9" style="2790"/>
  </cols>
  <sheetData>
    <row r="1" spans="1:12" ht="54">
      <c r="A1" s="2780" t="s">
        <v>2408</v>
      </c>
      <c r="B1" s="2788"/>
      <c r="C1" s="2780" t="s">
        <v>671</v>
      </c>
      <c r="D1" s="2788"/>
      <c r="E1" s="2780" t="s">
        <v>2417</v>
      </c>
      <c r="F1" s="2788"/>
      <c r="G1" s="2789"/>
      <c r="H1" s="2789"/>
      <c r="I1" s="2789"/>
      <c r="J1" s="2789"/>
      <c r="K1" s="2789"/>
      <c r="L1" s="2789"/>
    </row>
    <row r="2" spans="1:12">
      <c r="A2" s="2783"/>
      <c r="B2" s="2783"/>
      <c r="C2" s="2783"/>
      <c r="D2" s="2783"/>
      <c r="E2" s="2783"/>
      <c r="F2" s="2783"/>
      <c r="G2" s="2783"/>
      <c r="H2" s="2783"/>
      <c r="I2" s="2783"/>
      <c r="J2" s="2783"/>
      <c r="K2" s="2783"/>
      <c r="L2" s="2783"/>
    </row>
    <row r="3" spans="1:12">
      <c r="A3" s="2791"/>
      <c r="B3" s="2789"/>
      <c r="C3" s="2789"/>
      <c r="D3" s="2789"/>
      <c r="E3" s="2789"/>
      <c r="F3" s="2789"/>
      <c r="G3" s="2789"/>
      <c r="H3" s="3200" t="s">
        <v>2410</v>
      </c>
      <c r="I3" s="3200"/>
      <c r="J3" s="2783"/>
      <c r="K3" s="3201">
        <v>0</v>
      </c>
      <c r="L3" s="3201"/>
    </row>
    <row r="4" spans="1:12">
      <c r="A4" s="2789"/>
      <c r="B4" s="2789"/>
      <c r="C4" s="2789"/>
      <c r="D4" s="2789"/>
      <c r="E4" s="2789"/>
      <c r="F4" s="2789"/>
      <c r="G4" s="2789"/>
      <c r="H4" s="2783"/>
      <c r="I4" s="2783"/>
      <c r="J4" s="2783"/>
      <c r="K4" s="3201"/>
      <c r="L4" s="3201"/>
    </row>
    <row r="5" spans="1:12">
      <c r="A5" s="2785">
        <v>23774</v>
      </c>
      <c r="B5" s="2783"/>
      <c r="C5" s="3202" t="s">
        <v>2418</v>
      </c>
      <c r="D5" s="3202"/>
      <c r="E5" s="3202"/>
      <c r="F5" s="3202"/>
      <c r="G5" s="3202"/>
      <c r="H5" s="3202"/>
      <c r="I5" s="3202"/>
      <c r="J5" s="2783"/>
      <c r="K5" s="2783"/>
      <c r="L5" s="2783"/>
    </row>
    <row r="6" spans="1:12">
      <c r="A6" s="2783"/>
      <c r="B6" s="2783"/>
      <c r="C6" s="2783"/>
      <c r="D6" s="2783"/>
      <c r="E6" s="2783"/>
      <c r="F6" s="2783"/>
      <c r="G6" s="2783"/>
      <c r="H6" s="2783"/>
      <c r="I6" s="2783"/>
      <c r="J6" s="2783"/>
      <c r="K6" s="2783"/>
      <c r="L6" s="2783"/>
    </row>
    <row r="7" spans="1:12">
      <c r="A7" s="3203"/>
      <c r="B7" s="3203"/>
      <c r="C7" s="3203"/>
      <c r="D7" s="2786"/>
      <c r="E7" s="2786"/>
      <c r="F7" s="2786"/>
      <c r="G7" s="2786"/>
      <c r="H7" s="3204"/>
      <c r="I7" s="3204"/>
      <c r="J7" s="3204"/>
      <c r="K7" s="2786"/>
      <c r="L7" s="2787"/>
    </row>
    <row r="8" spans="1:12">
      <c r="A8" s="2791"/>
      <c r="B8" s="2791"/>
      <c r="C8" s="2791"/>
      <c r="D8" s="2791"/>
      <c r="E8" s="3200" t="s">
        <v>2412</v>
      </c>
      <c r="F8" s="3200"/>
      <c r="G8" s="2791"/>
      <c r="H8" s="3201">
        <v>0</v>
      </c>
      <c r="I8" s="3201"/>
      <c r="J8" s="3201"/>
      <c r="K8" s="2783"/>
      <c r="L8" s="3201">
        <v>0</v>
      </c>
    </row>
    <row r="9" spans="1:12">
      <c r="A9" s="2791"/>
      <c r="B9" s="2791"/>
      <c r="C9" s="2791"/>
      <c r="D9" s="2791"/>
      <c r="E9" s="2791"/>
      <c r="F9" s="2791"/>
      <c r="G9" s="2791"/>
      <c r="H9" s="3201"/>
      <c r="I9" s="3201"/>
      <c r="J9" s="3201"/>
      <c r="K9" s="2783"/>
      <c r="L9" s="3201"/>
    </row>
    <row r="10" spans="1:12" ht="27">
      <c r="A10" s="2780" t="s">
        <v>2408</v>
      </c>
      <c r="B10" s="2788"/>
      <c r="C10" s="2780" t="s">
        <v>671</v>
      </c>
      <c r="D10" s="2788"/>
      <c r="E10" s="2780" t="s">
        <v>2409</v>
      </c>
      <c r="F10" s="2788"/>
      <c r="G10" s="2789"/>
      <c r="H10" s="2789"/>
      <c r="I10" s="2789"/>
      <c r="J10" s="2789"/>
      <c r="K10" s="2789"/>
      <c r="L10" s="2789"/>
    </row>
    <row r="11" spans="1:12">
      <c r="A11" s="2783"/>
      <c r="B11" s="2783"/>
      <c r="C11" s="2783"/>
      <c r="D11" s="2783"/>
      <c r="E11" s="2783"/>
      <c r="F11" s="2783"/>
      <c r="G11" s="2783"/>
      <c r="H11" s="2783"/>
      <c r="I11" s="2783"/>
      <c r="J11" s="2783"/>
      <c r="K11" s="2783"/>
      <c r="L11" s="2783"/>
    </row>
    <row r="12" spans="1:12">
      <c r="A12" s="2791"/>
      <c r="B12" s="2789"/>
      <c r="C12" s="2789"/>
      <c r="D12" s="2789"/>
      <c r="E12" s="2789"/>
      <c r="F12" s="2789"/>
      <c r="G12" s="2789"/>
      <c r="H12" s="3200" t="s">
        <v>2410</v>
      </c>
      <c r="I12" s="3200"/>
      <c r="J12" s="2783"/>
      <c r="K12" s="3201">
        <v>0</v>
      </c>
      <c r="L12" s="3201"/>
    </row>
    <row r="13" spans="1:12">
      <c r="A13" s="2789"/>
      <c r="B13" s="2789"/>
      <c r="C13" s="2789"/>
      <c r="D13" s="2789"/>
      <c r="E13" s="2789"/>
      <c r="F13" s="2789"/>
      <c r="G13" s="2789"/>
      <c r="H13" s="2783"/>
      <c r="I13" s="2783"/>
      <c r="J13" s="2783"/>
      <c r="K13" s="3201"/>
      <c r="L13" s="3201"/>
    </row>
    <row r="14" spans="1:12">
      <c r="A14" s="2785">
        <v>26</v>
      </c>
      <c r="B14" s="2783"/>
      <c r="C14" s="3202" t="s">
        <v>2419</v>
      </c>
      <c r="D14" s="3202"/>
      <c r="E14" s="3202"/>
      <c r="F14" s="3202"/>
      <c r="G14" s="3202"/>
      <c r="H14" s="3202"/>
      <c r="I14" s="3202"/>
      <c r="J14" s="2783"/>
      <c r="K14" s="2783"/>
      <c r="L14" s="2783"/>
    </row>
    <row r="15" spans="1:12">
      <c r="A15" s="2783"/>
      <c r="B15" s="2783"/>
      <c r="C15" s="2783"/>
      <c r="D15" s="2783"/>
      <c r="E15" s="2783"/>
      <c r="F15" s="2783"/>
      <c r="G15" s="2783"/>
      <c r="H15" s="2783"/>
      <c r="I15" s="2783"/>
      <c r="J15" s="2783"/>
      <c r="K15" s="2783"/>
      <c r="L15" s="2783"/>
    </row>
    <row r="16" spans="1:12">
      <c r="A16" s="3203"/>
      <c r="B16" s="3203"/>
      <c r="C16" s="3203"/>
      <c r="D16" s="2786"/>
      <c r="E16" s="2786"/>
      <c r="F16" s="2786"/>
      <c r="G16" s="2786"/>
      <c r="H16" s="3204"/>
      <c r="I16" s="3204"/>
      <c r="J16" s="3204"/>
      <c r="K16" s="2786"/>
      <c r="L16" s="2787"/>
    </row>
    <row r="17" spans="1:12">
      <c r="A17" s="2791"/>
      <c r="B17" s="2791"/>
      <c r="C17" s="2791"/>
      <c r="D17" s="2791"/>
      <c r="E17" s="3200" t="s">
        <v>2412</v>
      </c>
      <c r="F17" s="3200"/>
      <c r="G17" s="2791"/>
      <c r="H17" s="3201">
        <v>0</v>
      </c>
      <c r="I17" s="3201"/>
      <c r="J17" s="3201"/>
      <c r="K17" s="2783"/>
      <c r="L17" s="3201">
        <v>0</v>
      </c>
    </row>
    <row r="18" spans="1:12">
      <c r="A18" s="2791"/>
      <c r="B18" s="2791"/>
      <c r="C18" s="2791"/>
      <c r="D18" s="2791"/>
      <c r="E18" s="2791"/>
      <c r="F18" s="2791"/>
      <c r="G18" s="2791"/>
      <c r="H18" s="3201"/>
      <c r="I18" s="3201"/>
      <c r="J18" s="3201"/>
      <c r="K18" s="2783"/>
      <c r="L18" s="3201"/>
    </row>
    <row r="19" spans="1:12" ht="27">
      <c r="A19" s="2780" t="s">
        <v>2408</v>
      </c>
      <c r="B19" s="2788"/>
      <c r="C19" s="2780" t="s">
        <v>671</v>
      </c>
      <c r="D19" s="2788"/>
      <c r="E19" s="2780" t="s">
        <v>2409</v>
      </c>
      <c r="F19" s="2788"/>
      <c r="G19" s="2789"/>
      <c r="H19" s="2789"/>
      <c r="I19" s="2789"/>
      <c r="J19" s="2789"/>
      <c r="K19" s="2789"/>
      <c r="L19" s="2789"/>
    </row>
    <row r="20" spans="1:12">
      <c r="A20" s="2783"/>
      <c r="B20" s="2783"/>
      <c r="C20" s="2783"/>
      <c r="D20" s="2783"/>
      <c r="E20" s="2783"/>
      <c r="F20" s="2783"/>
      <c r="G20" s="2783"/>
      <c r="H20" s="2783"/>
      <c r="I20" s="2783"/>
      <c r="J20" s="2783"/>
      <c r="K20" s="2783"/>
      <c r="L20" s="2783"/>
    </row>
    <row r="21" spans="1:12">
      <c r="A21" s="2791"/>
      <c r="B21" s="2789"/>
      <c r="C21" s="2789"/>
      <c r="D21" s="2789"/>
      <c r="E21" s="2789"/>
      <c r="F21" s="2789"/>
      <c r="G21" s="2789"/>
      <c r="H21" s="3200" t="s">
        <v>2410</v>
      </c>
      <c r="I21" s="3200"/>
      <c r="J21" s="2783"/>
      <c r="K21" s="3201">
        <v>0</v>
      </c>
      <c r="L21" s="3201"/>
    </row>
    <row r="22" spans="1:12">
      <c r="A22" s="2789"/>
      <c r="B22" s="2789"/>
      <c r="C22" s="2789"/>
      <c r="D22" s="2789"/>
      <c r="E22" s="2789"/>
      <c r="F22" s="2789"/>
      <c r="G22" s="2789"/>
      <c r="H22" s="2783"/>
      <c r="I22" s="2783"/>
      <c r="J22" s="2783"/>
      <c r="K22" s="3201"/>
      <c r="L22" s="3201"/>
    </row>
    <row r="23" spans="1:12">
      <c r="A23" s="2785">
        <v>425</v>
      </c>
      <c r="B23" s="2783"/>
      <c r="C23" s="3202" t="s">
        <v>2420</v>
      </c>
      <c r="D23" s="3202"/>
      <c r="E23" s="3202"/>
      <c r="F23" s="3202"/>
      <c r="G23" s="3202"/>
      <c r="H23" s="3202"/>
      <c r="I23" s="3202"/>
      <c r="J23" s="2783"/>
      <c r="K23" s="2783"/>
      <c r="L23" s="2783"/>
    </row>
    <row r="24" spans="1:12">
      <c r="A24" s="2783"/>
      <c r="B24" s="2783"/>
      <c r="C24" s="2783"/>
      <c r="D24" s="2783"/>
      <c r="E24" s="2783"/>
      <c r="F24" s="2783"/>
      <c r="G24" s="2783"/>
      <c r="H24" s="2783"/>
      <c r="I24" s="2783"/>
      <c r="J24" s="2783"/>
      <c r="K24" s="2783"/>
      <c r="L24" s="2783"/>
    </row>
    <row r="25" spans="1:12">
      <c r="A25" s="3203"/>
      <c r="B25" s="3203"/>
      <c r="C25" s="3203"/>
      <c r="D25" s="2786"/>
      <c r="E25" s="2786"/>
      <c r="F25" s="2786"/>
      <c r="G25" s="2786"/>
      <c r="H25" s="3204"/>
      <c r="I25" s="3204"/>
      <c r="J25" s="3204"/>
      <c r="K25" s="2786"/>
      <c r="L25" s="2787"/>
    </row>
    <row r="26" spans="1:12">
      <c r="A26" s="2791"/>
      <c r="B26" s="2791"/>
      <c r="C26" s="2791"/>
      <c r="D26" s="2791"/>
      <c r="E26" s="3200" t="s">
        <v>2412</v>
      </c>
      <c r="F26" s="3200"/>
      <c r="G26" s="2791"/>
      <c r="H26" s="3201">
        <v>0</v>
      </c>
      <c r="I26" s="3201"/>
      <c r="J26" s="3201"/>
      <c r="K26" s="2783"/>
      <c r="L26" s="3201">
        <v>0</v>
      </c>
    </row>
    <row r="27" spans="1:12">
      <c r="A27" s="2791"/>
      <c r="B27" s="2791"/>
      <c r="C27" s="2791"/>
      <c r="D27" s="2791"/>
      <c r="E27" s="2791"/>
      <c r="F27" s="2791"/>
      <c r="G27" s="2791"/>
      <c r="H27" s="3201"/>
      <c r="I27" s="3201"/>
      <c r="J27" s="3201"/>
      <c r="K27" s="2783"/>
      <c r="L27" s="3201"/>
    </row>
    <row r="28" spans="1:12" ht="27">
      <c r="A28" s="2780" t="s">
        <v>2408</v>
      </c>
      <c r="B28" s="2788"/>
      <c r="C28" s="2780" t="s">
        <v>671</v>
      </c>
      <c r="D28" s="2788"/>
      <c r="E28" s="2780" t="s">
        <v>2409</v>
      </c>
      <c r="F28" s="2788"/>
      <c r="G28" s="2789"/>
      <c r="H28" s="2789"/>
      <c r="I28" s="2789"/>
      <c r="J28" s="2789"/>
      <c r="K28" s="2789"/>
      <c r="L28" s="2789"/>
    </row>
    <row r="29" spans="1:12">
      <c r="A29" s="2783"/>
      <c r="B29" s="2783"/>
      <c r="C29" s="2783"/>
      <c r="D29" s="2783"/>
      <c r="E29" s="2783"/>
      <c r="F29" s="2783"/>
      <c r="G29" s="2783"/>
      <c r="H29" s="2783"/>
      <c r="I29" s="2783"/>
      <c r="J29" s="2783"/>
      <c r="K29" s="2783"/>
      <c r="L29" s="2783"/>
    </row>
    <row r="30" spans="1:12">
      <c r="A30" s="2791"/>
      <c r="B30" s="2789"/>
      <c r="C30" s="2789"/>
      <c r="D30" s="2789"/>
      <c r="E30" s="2789"/>
      <c r="F30" s="2789"/>
      <c r="G30" s="2789"/>
      <c r="H30" s="3200" t="s">
        <v>2410</v>
      </c>
      <c r="I30" s="3200"/>
      <c r="J30" s="2783"/>
      <c r="K30" s="3201">
        <v>0</v>
      </c>
      <c r="L30" s="3201"/>
    </row>
    <row r="31" spans="1:12">
      <c r="A31" s="2789"/>
      <c r="B31" s="2789"/>
      <c r="C31" s="2789"/>
      <c r="D31" s="2789"/>
      <c r="E31" s="2789"/>
      <c r="F31" s="2789"/>
      <c r="G31" s="2789"/>
      <c r="H31" s="2783"/>
      <c r="I31" s="2783"/>
      <c r="J31" s="2783"/>
      <c r="K31" s="3201"/>
      <c r="L31" s="3201"/>
    </row>
    <row r="32" spans="1:12">
      <c r="A32" s="2785">
        <v>125</v>
      </c>
      <c r="B32" s="2783"/>
      <c r="C32" s="3202" t="s">
        <v>2421</v>
      </c>
      <c r="D32" s="3202"/>
      <c r="E32" s="3202"/>
      <c r="F32" s="3202"/>
      <c r="G32" s="3202"/>
      <c r="H32" s="3202"/>
      <c r="I32" s="3202"/>
      <c r="J32" s="2783"/>
      <c r="K32" s="2783"/>
      <c r="L32" s="2783"/>
    </row>
    <row r="33" spans="1:12">
      <c r="A33" s="2783"/>
      <c r="B33" s="2783"/>
      <c r="C33" s="2783"/>
      <c r="D33" s="2783"/>
      <c r="E33" s="2783"/>
      <c r="F33" s="2783"/>
      <c r="G33" s="2783"/>
      <c r="H33" s="2783"/>
      <c r="I33" s="2783"/>
      <c r="J33" s="2783"/>
      <c r="K33" s="2783"/>
      <c r="L33" s="2783"/>
    </row>
    <row r="34" spans="1:12">
      <c r="A34" s="3203"/>
      <c r="B34" s="3203"/>
      <c r="C34" s="3203"/>
      <c r="D34" s="2786"/>
      <c r="E34" s="2786"/>
      <c r="F34" s="2786"/>
      <c r="G34" s="2786"/>
      <c r="H34" s="3204"/>
      <c r="I34" s="3204"/>
      <c r="J34" s="3204"/>
      <c r="K34" s="2786"/>
      <c r="L34" s="2787"/>
    </row>
    <row r="35" spans="1:12">
      <c r="A35" s="2791"/>
      <c r="B35" s="2791"/>
      <c r="C35" s="2791"/>
      <c r="D35" s="2791"/>
      <c r="E35" s="3200" t="s">
        <v>2412</v>
      </c>
      <c r="F35" s="3200"/>
      <c r="G35" s="2791"/>
      <c r="H35" s="3201">
        <v>0</v>
      </c>
      <c r="I35" s="3201"/>
      <c r="J35" s="3201"/>
      <c r="K35" s="2783"/>
      <c r="L35" s="3201">
        <v>0</v>
      </c>
    </row>
    <row r="36" spans="1:12">
      <c r="A36" s="2791"/>
      <c r="B36" s="2791"/>
      <c r="C36" s="2791"/>
      <c r="D36" s="2791"/>
      <c r="E36" s="2791"/>
      <c r="F36" s="2791"/>
      <c r="G36" s="2791"/>
      <c r="H36" s="3201"/>
      <c r="I36" s="3201"/>
      <c r="J36" s="3201"/>
      <c r="K36" s="2783"/>
      <c r="L36" s="3201"/>
    </row>
    <row r="37" spans="1:12" ht="27">
      <c r="A37" s="2780" t="s">
        <v>2408</v>
      </c>
      <c r="B37" s="2788"/>
      <c r="C37" s="2780" t="s">
        <v>671</v>
      </c>
      <c r="D37" s="2788"/>
      <c r="E37" s="2780" t="s">
        <v>2409</v>
      </c>
      <c r="F37" s="2788"/>
      <c r="G37" s="2789"/>
      <c r="H37" s="2789"/>
      <c r="I37" s="2789"/>
      <c r="J37" s="2789"/>
      <c r="K37" s="2789"/>
      <c r="L37" s="2789"/>
    </row>
    <row r="38" spans="1:12">
      <c r="A38" s="2783"/>
      <c r="B38" s="2783"/>
      <c r="C38" s="2783"/>
      <c r="D38" s="2783"/>
      <c r="E38" s="2783"/>
      <c r="F38" s="2783"/>
      <c r="G38" s="2783"/>
      <c r="H38" s="2783"/>
      <c r="I38" s="2783"/>
      <c r="J38" s="2783"/>
      <c r="K38" s="2783"/>
      <c r="L38" s="2783"/>
    </row>
    <row r="39" spans="1:12">
      <c r="A39" s="2791"/>
      <c r="B39" s="2789"/>
      <c r="C39" s="2789"/>
      <c r="D39" s="2789"/>
      <c r="E39" s="2789"/>
      <c r="F39" s="2789"/>
      <c r="G39" s="2789"/>
      <c r="H39" s="3200" t="s">
        <v>2410</v>
      </c>
      <c r="I39" s="3200"/>
      <c r="J39" s="2783"/>
      <c r="K39" s="3201">
        <v>0</v>
      </c>
      <c r="L39" s="3201"/>
    </row>
    <row r="40" spans="1:12">
      <c r="A40" s="2789"/>
      <c r="B40" s="2789"/>
      <c r="C40" s="2789"/>
      <c r="D40" s="2789"/>
      <c r="E40" s="2789"/>
      <c r="F40" s="2789"/>
      <c r="G40" s="2789"/>
      <c r="H40" s="2783"/>
      <c r="I40" s="2783"/>
      <c r="J40" s="2783"/>
      <c r="K40" s="3201"/>
      <c r="L40" s="3201"/>
    </row>
    <row r="41" spans="1:12">
      <c r="A41" s="2785">
        <v>7176</v>
      </c>
      <c r="B41" s="2783"/>
      <c r="C41" s="3202" t="s">
        <v>2422</v>
      </c>
      <c r="D41" s="3202"/>
      <c r="E41" s="3202"/>
      <c r="F41" s="3202"/>
      <c r="G41" s="3202"/>
      <c r="H41" s="3202"/>
      <c r="I41" s="3202"/>
      <c r="J41" s="2783"/>
      <c r="K41" s="2783"/>
      <c r="L41" s="2783"/>
    </row>
    <row r="42" spans="1:12">
      <c r="A42" s="2783"/>
      <c r="B42" s="2783"/>
      <c r="C42" s="2783"/>
      <c r="D42" s="2783"/>
      <c r="E42" s="2783"/>
      <c r="F42" s="2783"/>
      <c r="G42" s="2783"/>
      <c r="H42" s="2783"/>
      <c r="I42" s="2783"/>
      <c r="J42" s="2783"/>
      <c r="K42" s="2783"/>
      <c r="L42" s="2783"/>
    </row>
    <row r="43" spans="1:12">
      <c r="A43" s="3203"/>
      <c r="B43" s="3203"/>
      <c r="C43" s="3203"/>
      <c r="D43" s="2786"/>
      <c r="E43" s="2786"/>
      <c r="F43" s="2786"/>
      <c r="G43" s="2786"/>
      <c r="H43" s="3204"/>
      <c r="I43" s="3204"/>
      <c r="J43" s="3204"/>
      <c r="K43" s="2786"/>
      <c r="L43" s="2787"/>
    </row>
    <row r="44" spans="1:12">
      <c r="A44" s="2791"/>
      <c r="B44" s="2791"/>
      <c r="C44" s="2791"/>
      <c r="D44" s="2791"/>
      <c r="E44" s="3200" t="s">
        <v>2412</v>
      </c>
      <c r="F44" s="3200"/>
      <c r="G44" s="2791"/>
      <c r="H44" s="3201">
        <v>0</v>
      </c>
      <c r="I44" s="3201"/>
      <c r="J44" s="3201"/>
      <c r="K44" s="2783"/>
      <c r="L44" s="3201">
        <v>0</v>
      </c>
    </row>
    <row r="45" spans="1:12">
      <c r="A45" s="2791"/>
      <c r="B45" s="2791"/>
      <c r="C45" s="2791"/>
      <c r="D45" s="2791"/>
      <c r="E45" s="2791"/>
      <c r="F45" s="2791"/>
      <c r="G45" s="2791"/>
      <c r="H45" s="3201"/>
      <c r="I45" s="3201"/>
      <c r="J45" s="3201"/>
      <c r="K45" s="2783"/>
      <c r="L45" s="3201"/>
    </row>
    <row r="46" spans="1:12" ht="27">
      <c r="A46" s="2780" t="s">
        <v>2408</v>
      </c>
      <c r="B46" s="2788"/>
      <c r="C46" s="2780" t="s">
        <v>671</v>
      </c>
      <c r="D46" s="2788"/>
      <c r="E46" s="2780" t="s">
        <v>2409</v>
      </c>
      <c r="F46" s="2788"/>
      <c r="G46" s="2789"/>
      <c r="H46" s="2789"/>
      <c r="I46" s="2789"/>
      <c r="J46" s="2789"/>
      <c r="K46" s="2789"/>
      <c r="L46" s="2789"/>
    </row>
    <row r="47" spans="1:12">
      <c r="A47" s="2783"/>
      <c r="B47" s="2783"/>
      <c r="C47" s="2783"/>
      <c r="D47" s="2783"/>
      <c r="E47" s="2783"/>
      <c r="F47" s="2783"/>
      <c r="G47" s="2783"/>
      <c r="H47" s="2783"/>
      <c r="I47" s="2783"/>
      <c r="J47" s="2783"/>
      <c r="K47" s="2783"/>
      <c r="L47" s="2783"/>
    </row>
    <row r="48" spans="1:12">
      <c r="A48" s="2791"/>
      <c r="B48" s="2789"/>
      <c r="C48" s="2789"/>
      <c r="D48" s="2789"/>
      <c r="E48" s="2789"/>
      <c r="F48" s="2789"/>
      <c r="G48" s="2789"/>
      <c r="H48" s="3200" t="s">
        <v>2410</v>
      </c>
      <c r="I48" s="3200"/>
      <c r="J48" s="2783"/>
      <c r="K48" s="3201">
        <v>0</v>
      </c>
      <c r="L48" s="3201"/>
    </row>
    <row r="49" spans="1:12">
      <c r="A49" s="2789"/>
      <c r="B49" s="2789"/>
      <c r="C49" s="2789"/>
      <c r="D49" s="2789"/>
      <c r="E49" s="2789"/>
      <c r="F49" s="2789"/>
      <c r="G49" s="2789"/>
      <c r="H49" s="2783"/>
      <c r="I49" s="2783"/>
      <c r="J49" s="2783"/>
      <c r="K49" s="3201"/>
      <c r="L49" s="3201"/>
    </row>
    <row r="50" spans="1:12">
      <c r="A50" s="2785">
        <v>21866</v>
      </c>
      <c r="B50" s="2783"/>
      <c r="C50" s="3202" t="s">
        <v>2423</v>
      </c>
      <c r="D50" s="3202"/>
      <c r="E50" s="3202"/>
      <c r="F50" s="3202"/>
      <c r="G50" s="3202"/>
      <c r="H50" s="3202"/>
      <c r="I50" s="3202"/>
      <c r="J50" s="2783"/>
      <c r="K50" s="2783"/>
      <c r="L50" s="2783"/>
    </row>
    <row r="51" spans="1:12">
      <c r="A51" s="2783"/>
      <c r="B51" s="2783"/>
      <c r="C51" s="2783"/>
      <c r="D51" s="2783"/>
      <c r="E51" s="2783"/>
      <c r="F51" s="2783"/>
      <c r="G51" s="2783"/>
      <c r="H51" s="2783"/>
      <c r="I51" s="2783"/>
      <c r="J51" s="2783"/>
      <c r="K51" s="2783"/>
      <c r="L51" s="2783"/>
    </row>
    <row r="52" spans="1:12">
      <c r="A52" s="3203"/>
      <c r="B52" s="3203"/>
      <c r="C52" s="3203"/>
      <c r="D52" s="2786"/>
      <c r="E52" s="2786"/>
      <c r="F52" s="2786"/>
      <c r="G52" s="2786"/>
      <c r="H52" s="3204"/>
      <c r="I52" s="3204"/>
      <c r="J52" s="3204"/>
      <c r="K52" s="2786"/>
      <c r="L52" s="2787"/>
    </row>
    <row r="53" spans="1:12">
      <c r="A53" s="2791"/>
      <c r="B53" s="2791"/>
      <c r="C53" s="2791"/>
      <c r="D53" s="2791"/>
      <c r="E53" s="3200" t="s">
        <v>2412</v>
      </c>
      <c r="F53" s="3200"/>
      <c r="G53" s="2791"/>
      <c r="H53" s="3201">
        <v>0</v>
      </c>
      <c r="I53" s="3201"/>
      <c r="J53" s="3201"/>
      <c r="K53" s="2783"/>
      <c r="L53" s="3201">
        <v>0</v>
      </c>
    </row>
    <row r="54" spans="1:12">
      <c r="A54" s="2791"/>
      <c r="B54" s="2791"/>
      <c r="C54" s="2791"/>
      <c r="D54" s="2791"/>
      <c r="E54" s="2791"/>
      <c r="F54" s="2791"/>
      <c r="G54" s="2791"/>
      <c r="H54" s="3201"/>
      <c r="I54" s="3201"/>
      <c r="J54" s="3201"/>
      <c r="K54" s="2783"/>
      <c r="L54" s="3201"/>
    </row>
    <row r="55" spans="1:12" ht="27">
      <c r="A55" s="2780" t="s">
        <v>2408</v>
      </c>
      <c r="B55" s="2788"/>
      <c r="C55" s="2780" t="s">
        <v>671</v>
      </c>
      <c r="D55" s="2788"/>
      <c r="E55" s="2780" t="s">
        <v>2409</v>
      </c>
      <c r="F55" s="2788"/>
      <c r="G55" s="2789"/>
      <c r="H55" s="2789"/>
      <c r="I55" s="2789"/>
      <c r="J55" s="2789"/>
      <c r="K55" s="2789"/>
      <c r="L55" s="2789"/>
    </row>
    <row r="56" spans="1:12">
      <c r="A56" s="2783"/>
      <c r="B56" s="2783"/>
      <c r="C56" s="2783"/>
      <c r="D56" s="2783"/>
      <c r="E56" s="2783"/>
      <c r="F56" s="2783"/>
      <c r="G56" s="2783"/>
      <c r="H56" s="2783"/>
      <c r="I56" s="2783"/>
      <c r="J56" s="2783"/>
      <c r="K56" s="2783"/>
      <c r="L56" s="2783"/>
    </row>
    <row r="57" spans="1:12">
      <c r="A57" s="2791"/>
      <c r="B57" s="2789"/>
      <c r="C57" s="2789"/>
      <c r="D57" s="2789"/>
      <c r="E57" s="2789"/>
      <c r="F57" s="2789"/>
      <c r="G57" s="2789"/>
      <c r="H57" s="3200" t="s">
        <v>2410</v>
      </c>
      <c r="I57" s="3200"/>
      <c r="J57" s="2783"/>
      <c r="K57" s="3201">
        <v>0</v>
      </c>
      <c r="L57" s="3201"/>
    </row>
    <row r="58" spans="1:12">
      <c r="A58" s="2789"/>
      <c r="B58" s="2789"/>
      <c r="C58" s="2789"/>
      <c r="D58" s="2789"/>
      <c r="E58" s="2789"/>
      <c r="F58" s="2789"/>
      <c r="G58" s="2789"/>
      <c r="H58" s="2783"/>
      <c r="I58" s="2783"/>
      <c r="J58" s="2783"/>
      <c r="K58" s="3201"/>
      <c r="L58" s="3201"/>
    </row>
    <row r="59" spans="1:12">
      <c r="A59" s="2785">
        <v>24087</v>
      </c>
      <c r="B59" s="2783"/>
      <c r="C59" s="3202" t="s">
        <v>2424</v>
      </c>
      <c r="D59" s="3202"/>
      <c r="E59" s="3202"/>
      <c r="F59" s="3202"/>
      <c r="G59" s="3202"/>
      <c r="H59" s="3202"/>
      <c r="I59" s="3202"/>
      <c r="J59" s="2783"/>
      <c r="K59" s="2783"/>
      <c r="L59" s="2783"/>
    </row>
    <row r="60" spans="1:12">
      <c r="A60" s="2783"/>
      <c r="B60" s="2783"/>
      <c r="C60" s="2783"/>
      <c r="D60" s="2783"/>
      <c r="E60" s="2783"/>
      <c r="F60" s="2783"/>
      <c r="G60" s="2783"/>
      <c r="H60" s="2783"/>
      <c r="I60" s="2783"/>
      <c r="J60" s="2783"/>
      <c r="K60" s="2783"/>
      <c r="L60" s="2783"/>
    </row>
    <row r="61" spans="1:12">
      <c r="A61" s="3203"/>
      <c r="B61" s="3203"/>
      <c r="C61" s="3203"/>
      <c r="D61" s="2786"/>
      <c r="E61" s="2786"/>
      <c r="F61" s="2786"/>
      <c r="G61" s="2786"/>
      <c r="H61" s="3204"/>
      <c r="I61" s="3204"/>
      <c r="J61" s="3204"/>
      <c r="K61" s="2786"/>
      <c r="L61" s="2787"/>
    </row>
    <row r="62" spans="1:12">
      <c r="A62" s="2791"/>
      <c r="B62" s="2791"/>
      <c r="C62" s="2791"/>
      <c r="D62" s="2791"/>
      <c r="E62" s="3200" t="s">
        <v>2412</v>
      </c>
      <c r="F62" s="3200"/>
      <c r="G62" s="2791"/>
      <c r="H62" s="3201">
        <v>0</v>
      </c>
      <c r="I62" s="3201"/>
      <c r="J62" s="3201"/>
      <c r="K62" s="2783"/>
      <c r="L62" s="3201">
        <v>0</v>
      </c>
    </row>
    <row r="63" spans="1:12">
      <c r="A63" s="2791"/>
      <c r="B63" s="2791"/>
      <c r="C63" s="2791"/>
      <c r="D63" s="2791"/>
      <c r="E63" s="2791"/>
      <c r="F63" s="2791"/>
      <c r="G63" s="2791"/>
      <c r="H63" s="3201"/>
      <c r="I63" s="3201"/>
      <c r="J63" s="3201"/>
      <c r="K63" s="2783"/>
      <c r="L63" s="3201"/>
    </row>
    <row r="64" spans="1:12" ht="27">
      <c r="A64" s="2780" t="s">
        <v>2408</v>
      </c>
      <c r="B64" s="2788"/>
      <c r="C64" s="2780" t="s">
        <v>671</v>
      </c>
      <c r="D64" s="2788"/>
      <c r="E64" s="2780" t="s">
        <v>2409</v>
      </c>
      <c r="F64" s="2788"/>
      <c r="G64" s="2789"/>
      <c r="H64" s="2789"/>
      <c r="I64" s="2789"/>
      <c r="J64" s="2789"/>
      <c r="K64" s="2789"/>
      <c r="L64" s="2789"/>
    </row>
    <row r="65" spans="1:12">
      <c r="A65" s="2783"/>
      <c r="B65" s="2783"/>
      <c r="C65" s="2783"/>
      <c r="D65" s="2783"/>
      <c r="E65" s="2783"/>
      <c r="F65" s="2783"/>
      <c r="G65" s="2783"/>
      <c r="H65" s="2783"/>
      <c r="I65" s="2783"/>
      <c r="J65" s="2783"/>
      <c r="K65" s="2783"/>
      <c r="L65" s="2783"/>
    </row>
    <row r="66" spans="1:12">
      <c r="A66" s="2791"/>
      <c r="B66" s="2789"/>
      <c r="C66" s="2789"/>
      <c r="D66" s="2789"/>
      <c r="E66" s="2789"/>
      <c r="F66" s="2789"/>
      <c r="G66" s="2789"/>
      <c r="H66" s="3200" t="s">
        <v>2410</v>
      </c>
      <c r="I66" s="3200"/>
      <c r="J66" s="2783"/>
      <c r="K66" s="3201">
        <v>0</v>
      </c>
      <c r="L66" s="3201"/>
    </row>
    <row r="67" spans="1:12">
      <c r="A67" s="2789"/>
      <c r="B67" s="2789"/>
      <c r="C67" s="2789"/>
      <c r="D67" s="2789"/>
      <c r="E67" s="2789"/>
      <c r="F67" s="2789"/>
      <c r="G67" s="2789"/>
      <c r="H67" s="2783"/>
      <c r="I67" s="2783"/>
      <c r="J67" s="2783"/>
      <c r="K67" s="3201"/>
      <c r="L67" s="3201"/>
    </row>
    <row r="68" spans="1:12">
      <c r="A68" s="2785">
        <v>24160</v>
      </c>
      <c r="B68" s="2783"/>
      <c r="C68" s="3202" t="s">
        <v>2425</v>
      </c>
      <c r="D68" s="3202"/>
      <c r="E68" s="3202"/>
      <c r="F68" s="3202"/>
      <c r="G68" s="3202"/>
      <c r="H68" s="3202"/>
      <c r="I68" s="3202"/>
      <c r="J68" s="2783"/>
      <c r="K68" s="2783"/>
      <c r="L68" s="2783"/>
    </row>
    <row r="69" spans="1:12">
      <c r="A69" s="2783"/>
      <c r="B69" s="2783"/>
      <c r="C69" s="2783"/>
      <c r="D69" s="2783"/>
      <c r="E69" s="2783"/>
      <c r="F69" s="2783"/>
      <c r="G69" s="2783"/>
      <c r="H69" s="2783"/>
      <c r="I69" s="2783"/>
      <c r="J69" s="2783"/>
      <c r="K69" s="2783"/>
      <c r="L69" s="2783"/>
    </row>
    <row r="70" spans="1:12">
      <c r="A70" s="3203"/>
      <c r="B70" s="3203"/>
      <c r="C70" s="3203"/>
      <c r="D70" s="2786"/>
      <c r="E70" s="2786"/>
      <c r="F70" s="2786"/>
      <c r="G70" s="2786"/>
      <c r="H70" s="3204"/>
      <c r="I70" s="3204"/>
      <c r="J70" s="3204"/>
      <c r="K70" s="2786"/>
      <c r="L70" s="2787"/>
    </row>
    <row r="71" spans="1:12">
      <c r="A71" s="2791"/>
      <c r="B71" s="2791"/>
      <c r="C71" s="2791"/>
      <c r="D71" s="2791"/>
      <c r="E71" s="3200" t="s">
        <v>2412</v>
      </c>
      <c r="F71" s="3200"/>
      <c r="G71" s="2791"/>
      <c r="H71" s="3201">
        <v>0</v>
      </c>
      <c r="I71" s="3201"/>
      <c r="J71" s="3201"/>
      <c r="K71" s="2783"/>
      <c r="L71" s="3201">
        <v>0</v>
      </c>
    </row>
    <row r="72" spans="1:12">
      <c r="A72" s="2791"/>
      <c r="B72" s="2791"/>
      <c r="C72" s="2791"/>
      <c r="D72" s="2791"/>
      <c r="E72" s="2791"/>
      <c r="F72" s="2791"/>
      <c r="G72" s="2791"/>
      <c r="H72" s="3201"/>
      <c r="I72" s="3201"/>
      <c r="J72" s="3201"/>
      <c r="K72" s="2783"/>
      <c r="L72" s="3201"/>
    </row>
    <row r="73" spans="1:12" ht="27">
      <c r="A73" s="2780" t="s">
        <v>2408</v>
      </c>
      <c r="B73" s="2788"/>
      <c r="C73" s="2780" t="s">
        <v>671</v>
      </c>
      <c r="D73" s="2788"/>
      <c r="E73" s="2780" t="s">
        <v>2409</v>
      </c>
      <c r="F73" s="2788"/>
      <c r="G73" s="2789"/>
      <c r="H73" s="2789"/>
      <c r="I73" s="2789"/>
      <c r="J73" s="2789"/>
      <c r="K73" s="2789"/>
      <c r="L73" s="2789"/>
    </row>
    <row r="74" spans="1:12">
      <c r="A74" s="2783"/>
      <c r="B74" s="2783"/>
      <c r="C74" s="2783"/>
      <c r="D74" s="2783"/>
      <c r="E74" s="2783"/>
      <c r="F74" s="2783"/>
      <c r="G74" s="2783"/>
      <c r="H74" s="2783"/>
      <c r="I74" s="2783"/>
      <c r="J74" s="2783"/>
      <c r="K74" s="2783"/>
      <c r="L74" s="2783"/>
    </row>
    <row r="75" spans="1:12">
      <c r="A75" s="2791"/>
      <c r="B75" s="2789"/>
      <c r="C75" s="2789"/>
      <c r="D75" s="2789"/>
      <c r="E75" s="2789"/>
      <c r="F75" s="2789"/>
      <c r="G75" s="2789"/>
      <c r="H75" s="3200" t="s">
        <v>2410</v>
      </c>
      <c r="I75" s="3200"/>
      <c r="J75" s="2783"/>
      <c r="K75" s="3201">
        <v>0</v>
      </c>
      <c r="L75" s="3201"/>
    </row>
    <row r="76" spans="1:12">
      <c r="A76" s="2789"/>
      <c r="B76" s="2789"/>
      <c r="C76" s="2789"/>
      <c r="D76" s="2789"/>
      <c r="E76" s="2789"/>
      <c r="F76" s="2789"/>
      <c r="G76" s="2789"/>
      <c r="H76" s="2783"/>
      <c r="I76" s="2783"/>
      <c r="J76" s="2783"/>
      <c r="K76" s="3201"/>
      <c r="L76" s="3201"/>
    </row>
    <row r="77" spans="1:12">
      <c r="A77" s="2785">
        <v>24476</v>
      </c>
      <c r="B77" s="2783"/>
      <c r="C77" s="3202" t="s">
        <v>2426</v>
      </c>
      <c r="D77" s="3202"/>
      <c r="E77" s="3202"/>
      <c r="F77" s="3202"/>
      <c r="G77" s="3202"/>
      <c r="H77" s="3202"/>
      <c r="I77" s="3202"/>
      <c r="J77" s="2783"/>
      <c r="K77" s="2783"/>
      <c r="L77" s="2783"/>
    </row>
    <row r="78" spans="1:12">
      <c r="A78" s="2783"/>
      <c r="B78" s="2783"/>
      <c r="C78" s="2783"/>
      <c r="D78" s="2783"/>
      <c r="E78" s="2783"/>
      <c r="F78" s="2783"/>
      <c r="G78" s="2783"/>
      <c r="H78" s="2783"/>
      <c r="I78" s="2783"/>
      <c r="J78" s="2783"/>
      <c r="K78" s="2783"/>
      <c r="L78" s="2783"/>
    </row>
    <row r="79" spans="1:12">
      <c r="A79" s="3203"/>
      <c r="B79" s="3203"/>
      <c r="C79" s="3203"/>
      <c r="D79" s="2786"/>
      <c r="E79" s="2786"/>
      <c r="F79" s="2786"/>
      <c r="G79" s="2786"/>
      <c r="H79" s="3204"/>
      <c r="I79" s="3204"/>
      <c r="J79" s="3204"/>
      <c r="K79" s="2786"/>
      <c r="L79" s="2787"/>
    </row>
    <row r="80" spans="1:12">
      <c r="A80" s="2791"/>
      <c r="B80" s="2791"/>
      <c r="C80" s="2791"/>
      <c r="D80" s="2791"/>
      <c r="E80" s="3200" t="s">
        <v>2412</v>
      </c>
      <c r="F80" s="3200"/>
      <c r="G80" s="2791"/>
      <c r="H80" s="3201">
        <v>0</v>
      </c>
      <c r="I80" s="3201"/>
      <c r="J80" s="3201"/>
      <c r="K80" s="2783"/>
      <c r="L80" s="3201">
        <v>0</v>
      </c>
    </row>
    <row r="81" spans="1:12">
      <c r="A81" s="2791"/>
      <c r="B81" s="2791"/>
      <c r="C81" s="2791"/>
      <c r="D81" s="2791"/>
      <c r="E81" s="2791"/>
      <c r="F81" s="2791"/>
      <c r="G81" s="2791"/>
      <c r="H81" s="3201"/>
      <c r="I81" s="3201"/>
      <c r="J81" s="3201"/>
      <c r="K81" s="2783"/>
      <c r="L81" s="3201"/>
    </row>
    <row r="82" spans="1:12" ht="27">
      <c r="A82" s="2780" t="s">
        <v>2408</v>
      </c>
      <c r="B82" s="2788"/>
      <c r="C82" s="2780" t="s">
        <v>671</v>
      </c>
      <c r="D82" s="2788"/>
      <c r="E82" s="2780" t="s">
        <v>2409</v>
      </c>
      <c r="F82" s="2788"/>
      <c r="G82" s="2789"/>
      <c r="H82" s="2789"/>
      <c r="I82" s="2789"/>
      <c r="J82" s="2789"/>
      <c r="K82" s="2789"/>
      <c r="L82" s="2789"/>
    </row>
    <row r="83" spans="1:12">
      <c r="A83" s="2783"/>
      <c r="B83" s="2783"/>
      <c r="C83" s="2783"/>
      <c r="D83" s="2783"/>
      <c r="E83" s="2783"/>
      <c r="F83" s="2783"/>
      <c r="G83" s="2783"/>
      <c r="H83" s="2783"/>
      <c r="I83" s="2783"/>
      <c r="J83" s="2783"/>
      <c r="K83" s="2783"/>
      <c r="L83" s="2783"/>
    </row>
    <row r="84" spans="1:12">
      <c r="A84" s="2791"/>
      <c r="B84" s="2789"/>
      <c r="C84" s="2789"/>
      <c r="D84" s="2789"/>
      <c r="E84" s="2789"/>
      <c r="F84" s="2789"/>
      <c r="G84" s="2789"/>
      <c r="H84" s="3200" t="s">
        <v>2410</v>
      </c>
      <c r="I84" s="3200"/>
      <c r="J84" s="2783"/>
      <c r="K84" s="3201">
        <v>0</v>
      </c>
      <c r="L84" s="3201"/>
    </row>
    <row r="85" spans="1:12">
      <c r="A85" s="2789"/>
      <c r="B85" s="2789"/>
      <c r="C85" s="2789"/>
      <c r="D85" s="2789"/>
      <c r="E85" s="2789"/>
      <c r="F85" s="2789"/>
      <c r="G85" s="2789"/>
      <c r="H85" s="2783"/>
      <c r="I85" s="2783"/>
      <c r="J85" s="2783"/>
      <c r="K85" s="3201"/>
      <c r="L85" s="3201"/>
    </row>
    <row r="86" spans="1:12">
      <c r="A86" s="2785">
        <v>42039</v>
      </c>
      <c r="B86" s="2783"/>
      <c r="C86" s="3202" t="s">
        <v>2427</v>
      </c>
      <c r="D86" s="3202"/>
      <c r="E86" s="3202"/>
      <c r="F86" s="3202"/>
      <c r="G86" s="3202"/>
      <c r="H86" s="3202"/>
      <c r="I86" s="3202"/>
      <c r="J86" s="2783"/>
      <c r="K86" s="2783"/>
      <c r="L86" s="2783"/>
    </row>
    <row r="87" spans="1:12">
      <c r="A87" s="2783"/>
      <c r="B87" s="2783"/>
      <c r="C87" s="2783"/>
      <c r="D87" s="2783"/>
      <c r="E87" s="2783"/>
      <c r="F87" s="2783"/>
      <c r="G87" s="2783"/>
      <c r="H87" s="2783"/>
      <c r="I87" s="2783"/>
      <c r="J87" s="2783"/>
      <c r="K87" s="2783"/>
      <c r="L87" s="2783"/>
    </row>
    <row r="88" spans="1:12">
      <c r="A88" s="3203"/>
      <c r="B88" s="3203"/>
      <c r="C88" s="3203"/>
      <c r="D88" s="2786"/>
      <c r="E88" s="2786"/>
      <c r="F88" s="2786"/>
      <c r="G88" s="2786"/>
      <c r="H88" s="3204"/>
      <c r="I88" s="3204"/>
      <c r="J88" s="3204"/>
      <c r="K88" s="2786"/>
      <c r="L88" s="2787"/>
    </row>
    <row r="89" spans="1:12">
      <c r="A89" s="2791"/>
      <c r="B89" s="2791"/>
      <c r="C89" s="2791"/>
      <c r="D89" s="2791"/>
      <c r="E89" s="3200" t="s">
        <v>2412</v>
      </c>
      <c r="F89" s="3200"/>
      <c r="G89" s="2791"/>
      <c r="H89" s="3201">
        <v>0</v>
      </c>
      <c r="I89" s="3201"/>
      <c r="J89" s="3201"/>
      <c r="K89" s="2783"/>
      <c r="L89" s="3201">
        <v>0</v>
      </c>
    </row>
    <row r="90" spans="1:12">
      <c r="A90" s="2791"/>
      <c r="B90" s="2791"/>
      <c r="C90" s="2791"/>
      <c r="D90" s="2791"/>
      <c r="E90" s="2791"/>
      <c r="F90" s="2791"/>
      <c r="G90" s="2791"/>
      <c r="H90" s="3201"/>
      <c r="I90" s="3201"/>
      <c r="J90" s="3201"/>
      <c r="K90" s="2783"/>
      <c r="L90" s="3201"/>
    </row>
    <row r="91" spans="1:12" ht="27">
      <c r="A91" s="2780" t="s">
        <v>2408</v>
      </c>
      <c r="B91" s="2788"/>
      <c r="C91" s="2780" t="s">
        <v>671</v>
      </c>
      <c r="D91" s="2788"/>
      <c r="E91" s="2780" t="s">
        <v>2409</v>
      </c>
      <c r="F91" s="2788"/>
      <c r="G91" s="2789"/>
      <c r="H91" s="2789"/>
      <c r="I91" s="2789"/>
      <c r="J91" s="2789"/>
      <c r="K91" s="2789"/>
      <c r="L91" s="2789"/>
    </row>
    <row r="92" spans="1:12">
      <c r="A92" s="2783"/>
      <c r="B92" s="2783"/>
      <c r="C92" s="2783"/>
      <c r="D92" s="2783"/>
      <c r="E92" s="2783"/>
      <c r="F92" s="2783"/>
      <c r="G92" s="2783"/>
      <c r="H92" s="2783"/>
      <c r="I92" s="2783"/>
      <c r="J92" s="2783"/>
      <c r="K92" s="2783"/>
      <c r="L92" s="2783"/>
    </row>
    <row r="93" spans="1:12">
      <c r="A93" s="2791"/>
      <c r="B93" s="2789"/>
      <c r="C93" s="2789"/>
      <c r="D93" s="2789"/>
      <c r="E93" s="2789"/>
      <c r="F93" s="2789"/>
      <c r="G93" s="2789"/>
      <c r="H93" s="3200" t="s">
        <v>2410</v>
      </c>
      <c r="I93" s="3200"/>
      <c r="J93" s="2783"/>
      <c r="K93" s="3201">
        <v>0</v>
      </c>
      <c r="L93" s="3201"/>
    </row>
    <row r="94" spans="1:12">
      <c r="A94" s="2789"/>
      <c r="B94" s="2789"/>
      <c r="C94" s="2789"/>
      <c r="D94" s="2789"/>
      <c r="E94" s="2789"/>
      <c r="F94" s="2789"/>
      <c r="G94" s="2789"/>
      <c r="H94" s="2783"/>
      <c r="I94" s="2783"/>
      <c r="J94" s="2783"/>
      <c r="K94" s="3201"/>
      <c r="L94" s="3201"/>
    </row>
    <row r="95" spans="1:12">
      <c r="A95" s="2785">
        <v>32636</v>
      </c>
      <c r="B95" s="2783"/>
      <c r="C95" s="3202" t="s">
        <v>2420</v>
      </c>
      <c r="D95" s="3202"/>
      <c r="E95" s="3202"/>
      <c r="F95" s="3202"/>
      <c r="G95" s="3202"/>
      <c r="H95" s="3202"/>
      <c r="I95" s="3202"/>
      <c r="J95" s="2783"/>
      <c r="K95" s="2783"/>
      <c r="L95" s="2783"/>
    </row>
    <row r="96" spans="1:12">
      <c r="A96" s="2783"/>
      <c r="B96" s="2783"/>
      <c r="C96" s="2783"/>
      <c r="D96" s="2783"/>
      <c r="E96" s="2783"/>
      <c r="F96" s="2783"/>
      <c r="G96" s="2783"/>
      <c r="H96" s="2783"/>
      <c r="I96" s="2783"/>
      <c r="J96" s="2783"/>
      <c r="K96" s="2783"/>
      <c r="L96" s="2783"/>
    </row>
    <row r="97" spans="1:12">
      <c r="A97" s="3203"/>
      <c r="B97" s="3203"/>
      <c r="C97" s="3203"/>
      <c r="D97" s="2786"/>
      <c r="E97" s="2786"/>
      <c r="F97" s="2786"/>
      <c r="G97" s="2786"/>
      <c r="H97" s="3204"/>
      <c r="I97" s="3204"/>
      <c r="J97" s="3204"/>
      <c r="K97" s="2786"/>
      <c r="L97" s="2787"/>
    </row>
    <row r="98" spans="1:12">
      <c r="A98" s="2791"/>
      <c r="B98" s="2791"/>
      <c r="C98" s="2791"/>
      <c r="D98" s="2791"/>
      <c r="E98" s="3200" t="s">
        <v>2412</v>
      </c>
      <c r="F98" s="3200"/>
      <c r="G98" s="2791"/>
      <c r="H98" s="3201">
        <v>0</v>
      </c>
      <c r="I98" s="3201"/>
      <c r="J98" s="3201"/>
      <c r="K98" s="2783"/>
      <c r="L98" s="3201">
        <v>0</v>
      </c>
    </row>
    <row r="99" spans="1:12">
      <c r="A99" s="2791"/>
      <c r="B99" s="2791"/>
      <c r="C99" s="2791"/>
      <c r="D99" s="2791"/>
      <c r="E99" s="2791"/>
      <c r="F99" s="2791"/>
      <c r="G99" s="2791"/>
      <c r="H99" s="3201"/>
      <c r="I99" s="3201"/>
      <c r="J99" s="3201"/>
      <c r="K99" s="2783"/>
      <c r="L99" s="3201"/>
    </row>
    <row r="100" spans="1:12" ht="27">
      <c r="A100" s="2780" t="s">
        <v>2408</v>
      </c>
      <c r="B100" s="2788"/>
      <c r="C100" s="2780" t="s">
        <v>671</v>
      </c>
      <c r="D100" s="2788"/>
      <c r="E100" s="2780" t="s">
        <v>2409</v>
      </c>
      <c r="F100" s="2788"/>
      <c r="G100" s="2789"/>
      <c r="H100" s="2789"/>
      <c r="I100" s="2789"/>
      <c r="J100" s="2789"/>
      <c r="K100" s="2789"/>
      <c r="L100" s="2789"/>
    </row>
    <row r="101" spans="1:12">
      <c r="A101" s="2783"/>
      <c r="B101" s="2783"/>
      <c r="C101" s="2783"/>
      <c r="D101" s="2783"/>
      <c r="E101" s="2783"/>
      <c r="F101" s="2783"/>
      <c r="G101" s="2783"/>
      <c r="H101" s="2783"/>
      <c r="I101" s="2783"/>
      <c r="J101" s="2783"/>
      <c r="K101" s="2783"/>
      <c r="L101" s="2783"/>
    </row>
    <row r="102" spans="1:12">
      <c r="A102" s="2791"/>
      <c r="B102" s="2789"/>
      <c r="C102" s="2789"/>
      <c r="D102" s="2789"/>
      <c r="E102" s="2789"/>
      <c r="F102" s="2789"/>
      <c r="G102" s="2789"/>
      <c r="H102" s="3200" t="s">
        <v>2410</v>
      </c>
      <c r="I102" s="3200"/>
      <c r="J102" s="2783"/>
      <c r="K102" s="3201">
        <v>0</v>
      </c>
      <c r="L102" s="3201"/>
    </row>
    <row r="103" spans="1:12">
      <c r="A103" s="2789"/>
      <c r="B103" s="2789"/>
      <c r="C103" s="2789"/>
      <c r="D103" s="2789"/>
      <c r="E103" s="2789"/>
      <c r="F103" s="2789"/>
      <c r="G103" s="2789"/>
      <c r="H103" s="2783"/>
      <c r="I103" s="2783"/>
      <c r="J103" s="2783"/>
      <c r="K103" s="3201"/>
      <c r="L103" s="3201"/>
    </row>
    <row r="104" spans="1:12">
      <c r="A104" s="2785">
        <v>32143</v>
      </c>
      <c r="B104" s="2783"/>
      <c r="C104" s="3202" t="s">
        <v>2428</v>
      </c>
      <c r="D104" s="3202"/>
      <c r="E104" s="3202"/>
      <c r="F104" s="3202"/>
      <c r="G104" s="3202"/>
      <c r="H104" s="3202"/>
      <c r="I104" s="3202"/>
      <c r="J104" s="2783"/>
      <c r="K104" s="2783"/>
      <c r="L104" s="2783"/>
    </row>
    <row r="105" spans="1:12">
      <c r="A105" s="2783"/>
      <c r="B105" s="2783"/>
      <c r="C105" s="2783"/>
      <c r="D105" s="2783"/>
      <c r="E105" s="2783"/>
      <c r="F105" s="2783"/>
      <c r="G105" s="2783"/>
      <c r="H105" s="2783"/>
      <c r="I105" s="2783"/>
      <c r="J105" s="2783"/>
      <c r="K105" s="2783"/>
      <c r="L105" s="2783"/>
    </row>
    <row r="106" spans="1:12">
      <c r="A106" s="3203"/>
      <c r="B106" s="3203"/>
      <c r="C106" s="3203"/>
      <c r="D106" s="2786"/>
      <c r="E106" s="2786"/>
      <c r="F106" s="2786"/>
      <c r="G106" s="2786"/>
      <c r="H106" s="3204"/>
      <c r="I106" s="3204"/>
      <c r="J106" s="3204"/>
      <c r="K106" s="2786"/>
      <c r="L106" s="2787"/>
    </row>
    <row r="107" spans="1:12">
      <c r="A107" s="2791"/>
      <c r="B107" s="2791"/>
      <c r="C107" s="2791"/>
      <c r="D107" s="2791"/>
      <c r="E107" s="3200" t="s">
        <v>2412</v>
      </c>
      <c r="F107" s="3200"/>
      <c r="G107" s="2791"/>
      <c r="H107" s="3201">
        <v>0</v>
      </c>
      <c r="I107" s="3201"/>
      <c r="J107" s="3201"/>
      <c r="K107" s="2783"/>
      <c r="L107" s="3201">
        <v>0</v>
      </c>
    </row>
    <row r="108" spans="1:12">
      <c r="A108" s="2791"/>
      <c r="B108" s="2791"/>
      <c r="C108" s="2791"/>
      <c r="D108" s="2791"/>
      <c r="E108" s="2791"/>
      <c r="F108" s="2791"/>
      <c r="G108" s="2791"/>
      <c r="H108" s="3201"/>
      <c r="I108" s="3201"/>
      <c r="J108" s="3201"/>
      <c r="K108" s="2783"/>
      <c r="L108" s="3201"/>
    </row>
    <row r="109" spans="1:12" ht="27">
      <c r="A109" s="2780" t="s">
        <v>2408</v>
      </c>
      <c r="B109" s="2788"/>
      <c r="C109" s="2780" t="s">
        <v>671</v>
      </c>
      <c r="D109" s="2788"/>
      <c r="E109" s="2780" t="s">
        <v>2409</v>
      </c>
      <c r="F109" s="2788"/>
      <c r="G109" s="2789"/>
      <c r="H109" s="2789"/>
      <c r="I109" s="2789"/>
      <c r="J109" s="2789"/>
      <c r="K109" s="2789"/>
      <c r="L109" s="2789"/>
    </row>
    <row r="110" spans="1:12">
      <c r="A110" s="2783"/>
      <c r="B110" s="2783"/>
      <c r="C110" s="2783"/>
      <c r="D110" s="2783"/>
      <c r="E110" s="2783"/>
      <c r="F110" s="2783"/>
      <c r="G110" s="2783"/>
      <c r="H110" s="2783"/>
      <c r="I110" s="2783"/>
      <c r="J110" s="2783"/>
      <c r="K110" s="2783"/>
      <c r="L110" s="2783"/>
    </row>
    <row r="111" spans="1:12">
      <c r="A111" s="2791"/>
      <c r="B111" s="2789"/>
      <c r="C111" s="2789"/>
      <c r="D111" s="2789"/>
      <c r="E111" s="2789"/>
      <c r="F111" s="2789"/>
      <c r="G111" s="2789"/>
      <c r="H111" s="3200" t="s">
        <v>2410</v>
      </c>
      <c r="I111" s="3200"/>
      <c r="J111" s="2783"/>
      <c r="K111" s="3201">
        <v>0</v>
      </c>
      <c r="L111" s="3201"/>
    </row>
    <row r="112" spans="1:12">
      <c r="A112" s="2789"/>
      <c r="B112" s="2789"/>
      <c r="C112" s="2789"/>
      <c r="D112" s="2789"/>
      <c r="E112" s="2789"/>
      <c r="F112" s="2789"/>
      <c r="G112" s="2789"/>
      <c r="H112" s="2783"/>
      <c r="I112" s="2783"/>
      <c r="J112" s="2783"/>
      <c r="K112" s="3201"/>
      <c r="L112" s="3201"/>
    </row>
    <row r="113" spans="1:12">
      <c r="A113" s="2785">
        <v>32358</v>
      </c>
      <c r="B113" s="2783"/>
      <c r="C113" s="3202" t="s">
        <v>2429</v>
      </c>
      <c r="D113" s="3202"/>
      <c r="E113" s="3202"/>
      <c r="F113" s="3202"/>
      <c r="G113" s="3202"/>
      <c r="H113" s="3202"/>
      <c r="I113" s="3202"/>
      <c r="J113" s="2783"/>
      <c r="K113" s="2783"/>
      <c r="L113" s="2783"/>
    </row>
    <row r="114" spans="1:12">
      <c r="A114" s="2783"/>
      <c r="B114" s="2783"/>
      <c r="C114" s="2783"/>
      <c r="D114" s="2783"/>
      <c r="E114" s="2783"/>
      <c r="F114" s="2783"/>
      <c r="G114" s="2783"/>
      <c r="H114" s="2783"/>
      <c r="I114" s="2783"/>
      <c r="J114" s="2783"/>
      <c r="K114" s="2783"/>
      <c r="L114" s="2783"/>
    </row>
    <row r="115" spans="1:12">
      <c r="A115" s="3203"/>
      <c r="B115" s="3203"/>
      <c r="C115" s="3203"/>
      <c r="D115" s="2786"/>
      <c r="E115" s="2786"/>
      <c r="F115" s="2786"/>
      <c r="G115" s="2786"/>
      <c r="H115" s="3204"/>
      <c r="I115" s="3204"/>
      <c r="J115" s="3204"/>
      <c r="K115" s="2786"/>
      <c r="L115" s="2787"/>
    </row>
    <row r="116" spans="1:12">
      <c r="A116" s="2791"/>
      <c r="B116" s="2791"/>
      <c r="C116" s="2791"/>
      <c r="D116" s="2791"/>
      <c r="E116" s="3200" t="s">
        <v>2412</v>
      </c>
      <c r="F116" s="3200"/>
      <c r="G116" s="2791"/>
      <c r="H116" s="3201">
        <v>0</v>
      </c>
      <c r="I116" s="3201"/>
      <c r="J116" s="3201"/>
      <c r="K116" s="2783"/>
      <c r="L116" s="3201">
        <v>0</v>
      </c>
    </row>
    <row r="117" spans="1:12">
      <c r="A117" s="2791"/>
      <c r="B117" s="2791"/>
      <c r="C117" s="2791"/>
      <c r="D117" s="2791"/>
      <c r="E117" s="2791"/>
      <c r="F117" s="2791"/>
      <c r="G117" s="2791"/>
      <c r="H117" s="3201"/>
      <c r="I117" s="3201"/>
      <c r="J117" s="3201"/>
      <c r="K117" s="2783"/>
      <c r="L117" s="3201"/>
    </row>
    <row r="118" spans="1:12" ht="27">
      <c r="A118" s="2780" t="s">
        <v>2408</v>
      </c>
      <c r="B118" s="2788"/>
      <c r="C118" s="2780" t="s">
        <v>671</v>
      </c>
      <c r="D118" s="2788"/>
      <c r="E118" s="2780" t="s">
        <v>2409</v>
      </c>
      <c r="F118" s="2788"/>
      <c r="G118" s="2789"/>
      <c r="H118" s="2789"/>
      <c r="I118" s="2789"/>
      <c r="J118" s="2789"/>
      <c r="K118" s="2789"/>
      <c r="L118" s="2789"/>
    </row>
    <row r="119" spans="1:12">
      <c r="A119" s="2783"/>
      <c r="B119" s="2783"/>
      <c r="C119" s="2783"/>
      <c r="D119" s="2783"/>
      <c r="E119" s="2783"/>
      <c r="F119" s="2783"/>
      <c r="G119" s="2783"/>
      <c r="H119" s="2783"/>
      <c r="I119" s="2783"/>
      <c r="J119" s="2783"/>
      <c r="K119" s="2783"/>
      <c r="L119" s="2783"/>
    </row>
    <row r="120" spans="1:12">
      <c r="A120" s="2791"/>
      <c r="B120" s="2789"/>
      <c r="C120" s="2789"/>
      <c r="D120" s="2789"/>
      <c r="E120" s="2789"/>
      <c r="F120" s="2789"/>
      <c r="G120" s="2789"/>
      <c r="H120" s="3200" t="s">
        <v>2410</v>
      </c>
      <c r="I120" s="3200"/>
      <c r="J120" s="2783"/>
      <c r="K120" s="3201">
        <v>0</v>
      </c>
      <c r="L120" s="3201"/>
    </row>
    <row r="121" spans="1:12">
      <c r="A121" s="2789"/>
      <c r="B121" s="2789"/>
      <c r="C121" s="2789"/>
      <c r="D121" s="2789"/>
      <c r="E121" s="2789"/>
      <c r="F121" s="2789"/>
      <c r="G121" s="2789"/>
      <c r="H121" s="2783"/>
      <c r="I121" s="2783"/>
      <c r="J121" s="2783"/>
      <c r="K121" s="3201"/>
      <c r="L121" s="3201"/>
    </row>
    <row r="122" spans="1:12">
      <c r="A122" s="2785">
        <v>44234</v>
      </c>
      <c r="B122" s="2783"/>
      <c r="C122" s="3202" t="s">
        <v>2430</v>
      </c>
      <c r="D122" s="3202"/>
      <c r="E122" s="3202"/>
      <c r="F122" s="3202"/>
      <c r="G122" s="3202"/>
      <c r="H122" s="3202"/>
      <c r="I122" s="3202"/>
      <c r="J122" s="2783"/>
      <c r="K122" s="2783"/>
      <c r="L122" s="2783"/>
    </row>
    <row r="123" spans="1:12">
      <c r="A123" s="2783"/>
      <c r="B123" s="2783"/>
      <c r="C123" s="2783"/>
      <c r="D123" s="2783"/>
      <c r="E123" s="2783"/>
      <c r="F123" s="2783"/>
      <c r="G123" s="2783"/>
      <c r="H123" s="2783"/>
      <c r="I123" s="2783"/>
      <c r="J123" s="2783"/>
      <c r="K123" s="2783"/>
      <c r="L123" s="2783"/>
    </row>
    <row r="124" spans="1:12">
      <c r="A124" s="3203"/>
      <c r="B124" s="3203"/>
      <c r="C124" s="3203"/>
      <c r="D124" s="2786"/>
      <c r="E124" s="2786"/>
      <c r="F124" s="2786"/>
      <c r="G124" s="2786"/>
      <c r="H124" s="3204"/>
      <c r="I124" s="3204"/>
      <c r="J124" s="3204"/>
      <c r="K124" s="2786"/>
      <c r="L124" s="2787"/>
    </row>
    <row r="125" spans="1:12">
      <c r="A125" s="2791"/>
      <c r="B125" s="2791"/>
      <c r="C125" s="2791"/>
      <c r="D125" s="2791"/>
      <c r="E125" s="3200" t="s">
        <v>2412</v>
      </c>
      <c r="F125" s="3200"/>
      <c r="G125" s="2791"/>
      <c r="H125" s="3201">
        <v>0</v>
      </c>
      <c r="I125" s="3201"/>
      <c r="J125" s="3201"/>
      <c r="K125" s="2783"/>
      <c r="L125" s="3201">
        <v>0</v>
      </c>
    </row>
    <row r="126" spans="1:12">
      <c r="A126" s="2791"/>
      <c r="B126" s="2791"/>
      <c r="C126" s="2791"/>
      <c r="D126" s="2791"/>
      <c r="E126" s="2791"/>
      <c r="F126" s="2791"/>
      <c r="G126" s="2791"/>
      <c r="H126" s="3201"/>
      <c r="I126" s="3201"/>
      <c r="J126" s="3201"/>
      <c r="K126" s="2783"/>
      <c r="L126" s="3201"/>
    </row>
    <row r="127" spans="1:12" ht="27">
      <c r="A127" s="2780" t="s">
        <v>2408</v>
      </c>
      <c r="B127" s="2788"/>
      <c r="C127" s="2780" t="s">
        <v>671</v>
      </c>
      <c r="D127" s="2788"/>
      <c r="E127" s="2780" t="s">
        <v>2409</v>
      </c>
      <c r="F127" s="2788"/>
      <c r="G127" s="2789"/>
      <c r="H127" s="2789"/>
      <c r="I127" s="2789"/>
      <c r="J127" s="2789"/>
      <c r="K127" s="2789"/>
      <c r="L127" s="2789"/>
    </row>
    <row r="128" spans="1:12">
      <c r="A128" s="2783"/>
      <c r="B128" s="2783"/>
      <c r="C128" s="2783"/>
      <c r="D128" s="2783"/>
      <c r="E128" s="2783"/>
      <c r="F128" s="2783"/>
      <c r="G128" s="2783"/>
      <c r="H128" s="2783"/>
      <c r="I128" s="2783"/>
      <c r="J128" s="2783"/>
      <c r="K128" s="2783"/>
      <c r="L128" s="2783"/>
    </row>
    <row r="129" spans="1:12">
      <c r="A129" s="2791"/>
      <c r="B129" s="2789"/>
      <c r="C129" s="2789"/>
      <c r="D129" s="2789"/>
      <c r="E129" s="2789"/>
      <c r="F129" s="2789"/>
      <c r="G129" s="2789"/>
      <c r="H129" s="3200" t="s">
        <v>2410</v>
      </c>
      <c r="I129" s="3200"/>
      <c r="J129" s="2783"/>
      <c r="K129" s="3201">
        <v>0</v>
      </c>
      <c r="L129" s="3201"/>
    </row>
    <row r="130" spans="1:12">
      <c r="A130" s="2789"/>
      <c r="B130" s="2789"/>
      <c r="C130" s="2789"/>
      <c r="D130" s="2789"/>
      <c r="E130" s="2789"/>
      <c r="F130" s="2789"/>
      <c r="G130" s="2789"/>
      <c r="H130" s="2783"/>
      <c r="I130" s="2783"/>
      <c r="J130" s="2783"/>
      <c r="K130" s="3201"/>
      <c r="L130" s="3201"/>
    </row>
    <row r="131" spans="1:12">
      <c r="A131" s="2785">
        <v>41794</v>
      </c>
      <c r="B131" s="2783"/>
      <c r="C131" s="3202" t="s">
        <v>2431</v>
      </c>
      <c r="D131" s="3202"/>
      <c r="E131" s="3202"/>
      <c r="F131" s="3202"/>
      <c r="G131" s="3202"/>
      <c r="H131" s="3202"/>
      <c r="I131" s="3202"/>
      <c r="J131" s="2783"/>
      <c r="K131" s="2783"/>
      <c r="L131" s="2783"/>
    </row>
    <row r="132" spans="1:12">
      <c r="A132" s="2783"/>
      <c r="B132" s="2783"/>
      <c r="C132" s="2783"/>
      <c r="D132" s="2783"/>
      <c r="E132" s="2783"/>
      <c r="F132" s="2783"/>
      <c r="G132" s="2783"/>
      <c r="H132" s="2783"/>
      <c r="I132" s="2783"/>
      <c r="J132" s="2783"/>
      <c r="K132" s="2783"/>
      <c r="L132" s="2783"/>
    </row>
    <row r="133" spans="1:12">
      <c r="A133" s="3203"/>
      <c r="B133" s="3203"/>
      <c r="C133" s="3203"/>
      <c r="D133" s="2786"/>
      <c r="E133" s="2786"/>
      <c r="F133" s="2786"/>
      <c r="G133" s="2786"/>
      <c r="H133" s="3204"/>
      <c r="I133" s="3204"/>
      <c r="J133" s="3204"/>
      <c r="K133" s="2786"/>
      <c r="L133" s="2787"/>
    </row>
    <row r="134" spans="1:12">
      <c r="A134" s="2791"/>
      <c r="B134" s="2791"/>
      <c r="C134" s="2791"/>
      <c r="D134" s="2791"/>
      <c r="E134" s="3200" t="s">
        <v>2412</v>
      </c>
      <c r="F134" s="3200"/>
      <c r="G134" s="2791"/>
      <c r="H134" s="3201">
        <v>0</v>
      </c>
      <c r="I134" s="3201"/>
      <c r="J134" s="3201"/>
      <c r="K134" s="2783"/>
      <c r="L134" s="3201">
        <v>0</v>
      </c>
    </row>
    <row r="135" spans="1:12">
      <c r="A135" s="2791"/>
      <c r="B135" s="2791"/>
      <c r="C135" s="2791"/>
      <c r="D135" s="2791"/>
      <c r="E135" s="2791"/>
      <c r="F135" s="2791"/>
      <c r="G135" s="2791"/>
      <c r="H135" s="3201"/>
      <c r="I135" s="3201"/>
      <c r="J135" s="3201"/>
      <c r="K135" s="2783"/>
      <c r="L135" s="3201"/>
    </row>
    <row r="136" spans="1:12" ht="27">
      <c r="A136" s="2780" t="s">
        <v>2408</v>
      </c>
      <c r="B136" s="2788"/>
      <c r="C136" s="2780" t="s">
        <v>671</v>
      </c>
      <c r="D136" s="2788"/>
      <c r="E136" s="2780" t="s">
        <v>2409</v>
      </c>
      <c r="F136" s="2788"/>
      <c r="G136" s="2789"/>
      <c r="H136" s="2789"/>
      <c r="I136" s="2789"/>
      <c r="J136" s="2789"/>
      <c r="K136" s="2789"/>
      <c r="L136" s="2789"/>
    </row>
    <row r="137" spans="1:12">
      <c r="A137" s="2783"/>
      <c r="B137" s="2783"/>
      <c r="C137" s="2783"/>
      <c r="D137" s="2783"/>
      <c r="E137" s="2783"/>
      <c r="F137" s="2783"/>
      <c r="G137" s="2783"/>
      <c r="H137" s="2783"/>
      <c r="I137" s="2783"/>
      <c r="J137" s="2783"/>
      <c r="K137" s="2783"/>
      <c r="L137" s="2783"/>
    </row>
    <row r="138" spans="1:12">
      <c r="A138" s="2791"/>
      <c r="B138" s="2789"/>
      <c r="C138" s="2789"/>
      <c r="D138" s="2789"/>
      <c r="E138" s="2789"/>
      <c r="F138" s="2789"/>
      <c r="G138" s="2789"/>
      <c r="H138" s="3200" t="s">
        <v>2410</v>
      </c>
      <c r="I138" s="3200"/>
      <c r="J138" s="2783"/>
      <c r="K138" s="3201">
        <v>0</v>
      </c>
      <c r="L138" s="3201"/>
    </row>
    <row r="139" spans="1:12">
      <c r="A139" s="2789"/>
      <c r="B139" s="2789"/>
      <c r="C139" s="2789"/>
      <c r="D139" s="2789"/>
      <c r="E139" s="2789"/>
      <c r="F139" s="2789"/>
      <c r="G139" s="2789"/>
      <c r="H139" s="2783"/>
      <c r="I139" s="2783"/>
      <c r="J139" s="2783"/>
      <c r="K139" s="3201"/>
      <c r="L139" s="3201"/>
    </row>
    <row r="140" spans="1:12">
      <c r="A140" s="2785">
        <v>39845</v>
      </c>
      <c r="B140" s="2783"/>
      <c r="C140" s="3202" t="s">
        <v>2432</v>
      </c>
      <c r="D140" s="3202"/>
      <c r="E140" s="3202"/>
      <c r="F140" s="3202"/>
      <c r="G140" s="3202"/>
      <c r="H140" s="3202"/>
      <c r="I140" s="3202"/>
      <c r="J140" s="2783"/>
      <c r="K140" s="2783"/>
      <c r="L140" s="2783"/>
    </row>
    <row r="141" spans="1:12">
      <c r="A141" s="2783"/>
      <c r="B141" s="2783"/>
      <c r="C141" s="2783"/>
      <c r="D141" s="2783"/>
      <c r="E141" s="2783"/>
      <c r="F141" s="2783"/>
      <c r="G141" s="2783"/>
      <c r="H141" s="2783"/>
      <c r="I141" s="2783"/>
      <c r="J141" s="2783"/>
      <c r="K141" s="2783"/>
      <c r="L141" s="2783"/>
    </row>
    <row r="142" spans="1:12">
      <c r="A142" s="3203"/>
      <c r="B142" s="3203"/>
      <c r="C142" s="3203"/>
      <c r="D142" s="2786"/>
      <c r="E142" s="2786"/>
      <c r="F142" s="2786"/>
      <c r="G142" s="2786"/>
      <c r="H142" s="3204"/>
      <c r="I142" s="3204"/>
      <c r="J142" s="3204"/>
      <c r="K142" s="2786"/>
      <c r="L142" s="2787"/>
    </row>
    <row r="143" spans="1:12">
      <c r="A143" s="2791"/>
      <c r="B143" s="2791"/>
      <c r="C143" s="2791"/>
      <c r="D143" s="2791"/>
      <c r="E143" s="3200" t="s">
        <v>2412</v>
      </c>
      <c r="F143" s="3200"/>
      <c r="G143" s="2791"/>
      <c r="H143" s="3201">
        <v>0</v>
      </c>
      <c r="I143" s="3201"/>
      <c r="J143" s="3201"/>
      <c r="K143" s="2783"/>
      <c r="L143" s="3201">
        <v>0</v>
      </c>
    </row>
    <row r="144" spans="1:12">
      <c r="A144" s="2791"/>
      <c r="B144" s="2791"/>
      <c r="C144" s="2791"/>
      <c r="D144" s="2791"/>
      <c r="E144" s="2791"/>
      <c r="F144" s="2791"/>
      <c r="G144" s="2791"/>
      <c r="H144" s="3201"/>
      <c r="I144" s="3201"/>
      <c r="J144" s="3201"/>
      <c r="K144" s="2783"/>
      <c r="L144" s="3201"/>
    </row>
    <row r="145" spans="1:12" ht="27">
      <c r="A145" s="2780" t="s">
        <v>2408</v>
      </c>
      <c r="B145" s="2788"/>
      <c r="C145" s="2780" t="s">
        <v>671</v>
      </c>
      <c r="D145" s="2788"/>
      <c r="E145" s="2780" t="s">
        <v>2409</v>
      </c>
      <c r="F145" s="2788"/>
      <c r="G145" s="2789"/>
      <c r="H145" s="2789"/>
      <c r="I145" s="2789"/>
      <c r="J145" s="2789"/>
      <c r="K145" s="2789"/>
      <c r="L145" s="2789"/>
    </row>
    <row r="146" spans="1:12">
      <c r="A146" s="2783"/>
      <c r="B146" s="2783"/>
      <c r="C146" s="2783"/>
      <c r="D146" s="2783"/>
      <c r="E146" s="2783"/>
      <c r="F146" s="2783"/>
      <c r="G146" s="2783"/>
      <c r="H146" s="2783"/>
      <c r="I146" s="2783"/>
      <c r="J146" s="2783"/>
      <c r="K146" s="2783"/>
      <c r="L146" s="2783"/>
    </row>
    <row r="147" spans="1:12">
      <c r="A147" s="2791"/>
      <c r="B147" s="2789"/>
      <c r="C147" s="2789"/>
      <c r="D147" s="2789"/>
      <c r="E147" s="2789"/>
      <c r="F147" s="2789"/>
      <c r="G147" s="2789"/>
      <c r="H147" s="3200" t="s">
        <v>2410</v>
      </c>
      <c r="I147" s="3200"/>
      <c r="J147" s="2783"/>
      <c r="K147" s="3201">
        <v>0</v>
      </c>
      <c r="L147" s="3201"/>
    </row>
    <row r="148" spans="1:12">
      <c r="A148" s="2789"/>
      <c r="B148" s="2789"/>
      <c r="C148" s="2789"/>
      <c r="D148" s="2789"/>
      <c r="E148" s="2789"/>
      <c r="F148" s="2789"/>
      <c r="G148" s="2789"/>
      <c r="H148" s="2783"/>
      <c r="I148" s="2783"/>
      <c r="J148" s="2783"/>
      <c r="K148" s="3201"/>
      <c r="L148" s="3201"/>
    </row>
    <row r="149" spans="1:12">
      <c r="A149" s="2785">
        <v>47667</v>
      </c>
      <c r="B149" s="2783"/>
      <c r="C149" s="3202" t="s">
        <v>2433</v>
      </c>
      <c r="D149" s="3202"/>
      <c r="E149" s="3202"/>
      <c r="F149" s="3202"/>
      <c r="G149" s="3202"/>
      <c r="H149" s="3202"/>
      <c r="I149" s="3202"/>
      <c r="J149" s="2783"/>
      <c r="K149" s="2783"/>
      <c r="L149" s="2783"/>
    </row>
    <row r="150" spans="1:12">
      <c r="A150" s="2783"/>
      <c r="B150" s="2783"/>
      <c r="C150" s="2783"/>
      <c r="D150" s="2783"/>
      <c r="E150" s="2783"/>
      <c r="F150" s="2783"/>
      <c r="G150" s="2783"/>
      <c r="H150" s="2783"/>
      <c r="I150" s="2783"/>
      <c r="J150" s="2783"/>
      <c r="K150" s="2783"/>
      <c r="L150" s="2783"/>
    </row>
    <row r="151" spans="1:12">
      <c r="A151" s="3203"/>
      <c r="B151" s="3203"/>
      <c r="C151" s="3203"/>
      <c r="D151" s="2786"/>
      <c r="E151" s="2786"/>
      <c r="F151" s="2786"/>
      <c r="G151" s="2786"/>
      <c r="H151" s="3204"/>
      <c r="I151" s="3204"/>
      <c r="J151" s="3204"/>
      <c r="K151" s="2786"/>
      <c r="L151" s="2787"/>
    </row>
    <row r="152" spans="1:12">
      <c r="A152" s="2791"/>
      <c r="B152" s="2791"/>
      <c r="C152" s="2791"/>
      <c r="D152" s="2791"/>
      <c r="E152" s="3200" t="s">
        <v>2412</v>
      </c>
      <c r="F152" s="3200"/>
      <c r="G152" s="2791"/>
      <c r="H152" s="3201">
        <v>0</v>
      </c>
      <c r="I152" s="3201"/>
      <c r="J152" s="3201"/>
      <c r="K152" s="2783"/>
      <c r="L152" s="3201">
        <v>0</v>
      </c>
    </row>
    <row r="153" spans="1:12">
      <c r="A153" s="2791"/>
      <c r="B153" s="2791"/>
      <c r="C153" s="2791"/>
      <c r="D153" s="2791"/>
      <c r="E153" s="2791"/>
      <c r="F153" s="2791"/>
      <c r="G153" s="2791"/>
      <c r="H153" s="3201"/>
      <c r="I153" s="3201"/>
      <c r="J153" s="3201"/>
      <c r="K153" s="2783"/>
      <c r="L153" s="3201"/>
    </row>
    <row r="154" spans="1:12" ht="27">
      <c r="A154" s="2780" t="s">
        <v>2408</v>
      </c>
      <c r="B154" s="2788"/>
      <c r="C154" s="2780" t="s">
        <v>671</v>
      </c>
      <c r="D154" s="2788"/>
      <c r="E154" s="2780" t="s">
        <v>2409</v>
      </c>
      <c r="F154" s="2788"/>
      <c r="G154" s="2789"/>
      <c r="H154" s="2789"/>
      <c r="I154" s="2789"/>
      <c r="J154" s="2789"/>
      <c r="K154" s="2789"/>
      <c r="L154" s="2789"/>
    </row>
    <row r="155" spans="1:12">
      <c r="A155" s="2783"/>
      <c r="B155" s="2783"/>
      <c r="C155" s="2783"/>
      <c r="D155" s="2783"/>
      <c r="E155" s="2783"/>
      <c r="F155" s="2783"/>
      <c r="G155" s="2783"/>
      <c r="H155" s="2783"/>
      <c r="I155" s="2783"/>
      <c r="J155" s="2783"/>
      <c r="K155" s="2783"/>
      <c r="L155" s="2783"/>
    </row>
    <row r="156" spans="1:12">
      <c r="A156" s="2791"/>
      <c r="B156" s="2789"/>
      <c r="C156" s="2789"/>
      <c r="D156" s="2789"/>
      <c r="E156" s="2789"/>
      <c r="F156" s="2789"/>
      <c r="G156" s="2789"/>
      <c r="H156" s="3200" t="s">
        <v>2410</v>
      </c>
      <c r="I156" s="3200"/>
      <c r="J156" s="2783"/>
      <c r="K156" s="3201">
        <v>0</v>
      </c>
      <c r="L156" s="3201"/>
    </row>
    <row r="157" spans="1:12">
      <c r="A157" s="2789"/>
      <c r="B157" s="2789"/>
      <c r="C157" s="2789"/>
      <c r="D157" s="2789"/>
      <c r="E157" s="2789"/>
      <c r="F157" s="2789"/>
      <c r="G157" s="2789"/>
      <c r="H157" s="2783"/>
      <c r="I157" s="2783"/>
      <c r="J157" s="2783"/>
      <c r="K157" s="3201"/>
      <c r="L157" s="3201"/>
    </row>
    <row r="158" spans="1:12">
      <c r="A158" s="2785">
        <v>56965</v>
      </c>
      <c r="B158" s="2783"/>
      <c r="C158" s="3202" t="s">
        <v>2434</v>
      </c>
      <c r="D158" s="3202"/>
      <c r="E158" s="3202"/>
      <c r="F158" s="3202"/>
      <c r="G158" s="3202"/>
      <c r="H158" s="3202"/>
      <c r="I158" s="3202"/>
      <c r="J158" s="2783"/>
      <c r="K158" s="2783"/>
      <c r="L158" s="2783"/>
    </row>
    <row r="159" spans="1:12">
      <c r="A159" s="2783"/>
      <c r="B159" s="2783"/>
      <c r="C159" s="2783"/>
      <c r="D159" s="2783"/>
      <c r="E159" s="2783"/>
      <c r="F159" s="2783"/>
      <c r="G159" s="2783"/>
      <c r="H159" s="2783"/>
      <c r="I159" s="2783"/>
      <c r="J159" s="2783"/>
      <c r="K159" s="2783"/>
      <c r="L159" s="2783"/>
    </row>
    <row r="160" spans="1:12">
      <c r="A160" s="3203"/>
      <c r="B160" s="3203"/>
      <c r="C160" s="3203"/>
      <c r="D160" s="2786"/>
      <c r="E160" s="2786"/>
      <c r="F160" s="2786"/>
      <c r="G160" s="2786"/>
      <c r="H160" s="3204"/>
      <c r="I160" s="3204"/>
      <c r="J160" s="3204"/>
      <c r="K160" s="2786"/>
      <c r="L160" s="2787"/>
    </row>
    <row r="161" spans="1:12">
      <c r="A161" s="2791"/>
      <c r="B161" s="2791"/>
      <c r="C161" s="2791"/>
      <c r="D161" s="2791"/>
      <c r="E161" s="3200" t="s">
        <v>2412</v>
      </c>
      <c r="F161" s="3200"/>
      <c r="G161" s="2791"/>
      <c r="H161" s="3201">
        <v>0</v>
      </c>
      <c r="I161" s="3201"/>
      <c r="J161" s="3201"/>
      <c r="K161" s="2783"/>
      <c r="L161" s="3201">
        <v>0</v>
      </c>
    </row>
    <row r="162" spans="1:12">
      <c r="A162" s="2791"/>
      <c r="B162" s="2791"/>
      <c r="C162" s="2791"/>
      <c r="D162" s="2791"/>
      <c r="E162" s="2791"/>
      <c r="F162" s="2791"/>
      <c r="G162" s="2791"/>
      <c r="H162" s="3201"/>
      <c r="I162" s="3201"/>
      <c r="J162" s="3201"/>
      <c r="K162" s="2783"/>
      <c r="L162" s="3201"/>
    </row>
    <row r="163" spans="1:12" ht="27">
      <c r="A163" s="2780" t="s">
        <v>2408</v>
      </c>
      <c r="B163" s="2788"/>
      <c r="C163" s="2780" t="s">
        <v>671</v>
      </c>
      <c r="D163" s="2788"/>
      <c r="E163" s="2780" t="s">
        <v>2409</v>
      </c>
      <c r="F163" s="2788"/>
      <c r="G163" s="2789"/>
      <c r="H163" s="2789"/>
      <c r="I163" s="2789"/>
      <c r="J163" s="2789"/>
      <c r="K163" s="2789"/>
      <c r="L163" s="2789"/>
    </row>
    <row r="164" spans="1:12">
      <c r="A164" s="2783"/>
      <c r="B164" s="2783"/>
      <c r="C164" s="2783"/>
      <c r="D164" s="2783"/>
      <c r="E164" s="2783"/>
      <c r="F164" s="2783"/>
      <c r="G164" s="2783"/>
      <c r="H164" s="2783"/>
      <c r="I164" s="2783"/>
      <c r="J164" s="2783"/>
      <c r="K164" s="2783"/>
      <c r="L164" s="2783"/>
    </row>
    <row r="165" spans="1:12">
      <c r="A165" s="2791"/>
      <c r="B165" s="2789"/>
      <c r="C165" s="2789"/>
      <c r="D165" s="2789"/>
      <c r="E165" s="2789"/>
      <c r="F165" s="2789"/>
      <c r="G165" s="2789"/>
      <c r="H165" s="3200" t="s">
        <v>2410</v>
      </c>
      <c r="I165" s="3200"/>
      <c r="J165" s="2783"/>
      <c r="K165" s="3201">
        <v>0</v>
      </c>
      <c r="L165" s="3201"/>
    </row>
    <row r="166" spans="1:12">
      <c r="A166" s="2789"/>
      <c r="B166" s="2789"/>
      <c r="C166" s="2789"/>
      <c r="D166" s="2789"/>
      <c r="E166" s="2789"/>
      <c r="F166" s="2789"/>
      <c r="G166" s="2789"/>
      <c r="H166" s="2783"/>
      <c r="I166" s="2783"/>
      <c r="J166" s="2783"/>
      <c r="K166" s="3201"/>
      <c r="L166" s="3201"/>
    </row>
    <row r="167" spans="1:12">
      <c r="A167" s="2785">
        <v>66113</v>
      </c>
      <c r="B167" s="2783"/>
      <c r="C167" s="3202" t="s">
        <v>2435</v>
      </c>
      <c r="D167" s="3202"/>
      <c r="E167" s="3202"/>
      <c r="F167" s="3202"/>
      <c r="G167" s="3202"/>
      <c r="H167" s="3202"/>
      <c r="I167" s="3202"/>
      <c r="J167" s="2783"/>
      <c r="K167" s="2783"/>
      <c r="L167" s="2783"/>
    </row>
    <row r="168" spans="1:12">
      <c r="A168" s="2783"/>
      <c r="B168" s="2783"/>
      <c r="C168" s="2783"/>
      <c r="D168" s="2783"/>
      <c r="E168" s="2783"/>
      <c r="F168" s="2783"/>
      <c r="G168" s="2783"/>
      <c r="H168" s="2783"/>
      <c r="I168" s="2783"/>
      <c r="J168" s="2783"/>
      <c r="K168" s="2783"/>
      <c r="L168" s="2783"/>
    </row>
    <row r="169" spans="1:12">
      <c r="A169" s="3203"/>
      <c r="B169" s="3203"/>
      <c r="C169" s="3203"/>
      <c r="D169" s="2786"/>
      <c r="E169" s="2786"/>
      <c r="F169" s="2786"/>
      <c r="G169" s="2786"/>
      <c r="H169" s="3204"/>
      <c r="I169" s="3204"/>
      <c r="J169" s="3204"/>
      <c r="K169" s="2786"/>
      <c r="L169" s="2787"/>
    </row>
    <row r="170" spans="1:12">
      <c r="A170" s="2791"/>
      <c r="B170" s="2791"/>
      <c r="C170" s="2791"/>
      <c r="D170" s="2791"/>
      <c r="E170" s="3200" t="s">
        <v>2412</v>
      </c>
      <c r="F170" s="3200"/>
      <c r="G170" s="2791"/>
      <c r="H170" s="3201">
        <v>0</v>
      </c>
      <c r="I170" s="3201"/>
      <c r="J170" s="3201"/>
      <c r="K170" s="2783"/>
      <c r="L170" s="3201">
        <v>0</v>
      </c>
    </row>
    <row r="171" spans="1:12">
      <c r="A171" s="2791"/>
      <c r="B171" s="2791"/>
      <c r="C171" s="2791"/>
      <c r="D171" s="2791"/>
      <c r="E171" s="2791"/>
      <c r="F171" s="2791"/>
      <c r="G171" s="2791"/>
      <c r="H171" s="3201"/>
      <c r="I171" s="3201"/>
      <c r="J171" s="3201"/>
      <c r="K171" s="2783"/>
      <c r="L171" s="3201"/>
    </row>
    <row r="172" spans="1:12" ht="27">
      <c r="A172" s="2780" t="s">
        <v>2408</v>
      </c>
      <c r="B172" s="2788"/>
      <c r="C172" s="2780" t="s">
        <v>671</v>
      </c>
      <c r="D172" s="2788"/>
      <c r="E172" s="2780" t="s">
        <v>2409</v>
      </c>
      <c r="F172" s="2788"/>
      <c r="G172" s="2789"/>
      <c r="H172" s="2789"/>
      <c r="I172" s="2789"/>
      <c r="J172" s="2789"/>
      <c r="K172" s="2789"/>
      <c r="L172" s="2789"/>
    </row>
    <row r="173" spans="1:12">
      <c r="A173" s="2783"/>
      <c r="B173" s="2783"/>
      <c r="C173" s="2783"/>
      <c r="D173" s="2783"/>
      <c r="E173" s="2783"/>
      <c r="F173" s="2783"/>
      <c r="G173" s="2783"/>
      <c r="H173" s="2783"/>
      <c r="I173" s="2783"/>
      <c r="J173" s="2783"/>
      <c r="K173" s="2783"/>
      <c r="L173" s="2783"/>
    </row>
    <row r="174" spans="1:12">
      <c r="A174" s="2791"/>
      <c r="B174" s="2789"/>
      <c r="C174" s="2789"/>
      <c r="D174" s="2789"/>
      <c r="E174" s="2789"/>
      <c r="F174" s="2789"/>
      <c r="G174" s="2789"/>
      <c r="H174" s="3200" t="s">
        <v>2410</v>
      </c>
      <c r="I174" s="3200"/>
      <c r="J174" s="2783"/>
      <c r="K174" s="3201">
        <v>0</v>
      </c>
      <c r="L174" s="3201"/>
    </row>
    <row r="175" spans="1:12">
      <c r="A175" s="2789"/>
      <c r="B175" s="2789"/>
      <c r="C175" s="2789"/>
      <c r="D175" s="2789"/>
      <c r="E175" s="2789"/>
      <c r="F175" s="2789"/>
      <c r="G175" s="2789"/>
      <c r="H175" s="2783"/>
      <c r="I175" s="2783"/>
      <c r="J175" s="2783"/>
      <c r="K175" s="3201"/>
      <c r="L175" s="3201"/>
    </row>
    <row r="176" spans="1:12">
      <c r="A176" s="2785">
        <v>66112</v>
      </c>
      <c r="B176" s="2783"/>
      <c r="C176" s="3202" t="s">
        <v>2436</v>
      </c>
      <c r="D176" s="3202"/>
      <c r="E176" s="3202"/>
      <c r="F176" s="3202"/>
      <c r="G176" s="3202"/>
      <c r="H176" s="3202"/>
      <c r="I176" s="3202"/>
      <c r="J176" s="2783"/>
      <c r="K176" s="2783"/>
      <c r="L176" s="2783"/>
    </row>
    <row r="177" spans="1:12">
      <c r="A177" s="2783"/>
      <c r="B177" s="2783"/>
      <c r="C177" s="2783"/>
      <c r="D177" s="2783"/>
      <c r="E177" s="2783"/>
      <c r="F177" s="2783"/>
      <c r="G177" s="2783"/>
      <c r="H177" s="2783"/>
      <c r="I177" s="2783"/>
      <c r="J177" s="2783"/>
      <c r="K177" s="2783"/>
      <c r="L177" s="2783"/>
    </row>
    <row r="178" spans="1:12">
      <c r="A178" s="3203"/>
      <c r="B178" s="3203"/>
      <c r="C178" s="3203"/>
      <c r="D178" s="2786"/>
      <c r="E178" s="2786"/>
      <c r="F178" s="2786"/>
      <c r="G178" s="2786"/>
      <c r="H178" s="3204"/>
      <c r="I178" s="3204"/>
      <c r="J178" s="3204"/>
      <c r="K178" s="2786"/>
      <c r="L178" s="2787"/>
    </row>
    <row r="179" spans="1:12">
      <c r="A179" s="2791"/>
      <c r="B179" s="2791"/>
      <c r="C179" s="2791"/>
      <c r="D179" s="2791"/>
      <c r="E179" s="3200" t="s">
        <v>2412</v>
      </c>
      <c r="F179" s="3200"/>
      <c r="G179" s="2791"/>
      <c r="H179" s="3201">
        <v>0</v>
      </c>
      <c r="I179" s="3201"/>
      <c r="J179" s="3201"/>
      <c r="K179" s="2783"/>
      <c r="L179" s="3201">
        <v>0</v>
      </c>
    </row>
    <row r="180" spans="1:12">
      <c r="A180" s="2791"/>
      <c r="B180" s="2791"/>
      <c r="C180" s="2791"/>
      <c r="D180" s="2791"/>
      <c r="E180" s="2791"/>
      <c r="F180" s="2791"/>
      <c r="G180" s="2791"/>
      <c r="H180" s="3201"/>
      <c r="I180" s="3201"/>
      <c r="J180" s="3201"/>
      <c r="K180" s="2783"/>
      <c r="L180" s="3201"/>
    </row>
    <row r="181" spans="1:12" ht="27">
      <c r="A181" s="2780" t="s">
        <v>2408</v>
      </c>
      <c r="B181" s="2788"/>
      <c r="C181" s="2780" t="s">
        <v>671</v>
      </c>
      <c r="D181" s="2788"/>
      <c r="E181" s="2780" t="s">
        <v>2409</v>
      </c>
      <c r="F181" s="2788"/>
      <c r="G181" s="2789"/>
      <c r="H181" s="2789"/>
      <c r="I181" s="2789"/>
      <c r="J181" s="2789"/>
      <c r="K181" s="2789"/>
      <c r="L181" s="2789"/>
    </row>
    <row r="182" spans="1:12">
      <c r="A182" s="2783"/>
      <c r="B182" s="2783"/>
      <c r="C182" s="2783"/>
      <c r="D182" s="2783"/>
      <c r="E182" s="2783"/>
      <c r="F182" s="2783"/>
      <c r="G182" s="2783"/>
      <c r="H182" s="2783"/>
      <c r="I182" s="2783"/>
      <c r="J182" s="2783"/>
      <c r="K182" s="2783"/>
      <c r="L182" s="2783"/>
    </row>
    <row r="183" spans="1:12">
      <c r="A183" s="2791"/>
      <c r="B183" s="2789"/>
      <c r="C183" s="2789"/>
      <c r="D183" s="2789"/>
      <c r="E183" s="2789"/>
      <c r="F183" s="2789"/>
      <c r="G183" s="2789"/>
      <c r="H183" s="3200" t="s">
        <v>2410</v>
      </c>
      <c r="I183" s="3200"/>
      <c r="J183" s="2783"/>
      <c r="K183" s="3205">
        <v>46809.643700000001</v>
      </c>
      <c r="L183" s="3205"/>
    </row>
    <row r="184" spans="1:12">
      <c r="A184" s="2789"/>
      <c r="B184" s="2789"/>
      <c r="C184" s="2789"/>
      <c r="D184" s="2789"/>
      <c r="E184" s="2789"/>
      <c r="F184" s="2789"/>
      <c r="G184" s="2789"/>
      <c r="H184" s="2783"/>
      <c r="I184" s="2783"/>
      <c r="J184" s="2783"/>
      <c r="K184" s="3205"/>
      <c r="L184" s="3205"/>
    </row>
    <row r="185" spans="1:12">
      <c r="A185" s="2785">
        <v>66489</v>
      </c>
      <c r="B185" s="2783"/>
      <c r="C185" s="3202" t="s">
        <v>2437</v>
      </c>
      <c r="D185" s="3202"/>
      <c r="E185" s="3202"/>
      <c r="F185" s="3202"/>
      <c r="G185" s="3202"/>
      <c r="H185" s="3202"/>
      <c r="I185" s="3202"/>
      <c r="J185" s="2783"/>
      <c r="K185" s="2783"/>
      <c r="L185" s="2783"/>
    </row>
    <row r="186" spans="1:12">
      <c r="A186" s="2783"/>
      <c r="B186" s="2783"/>
      <c r="C186" s="2783"/>
      <c r="D186" s="2783"/>
      <c r="E186" s="2783"/>
      <c r="F186" s="2783"/>
      <c r="G186" s="2783"/>
      <c r="H186" s="2783"/>
      <c r="I186" s="2783"/>
      <c r="J186" s="2783"/>
      <c r="K186" s="2783"/>
      <c r="L186" s="2783"/>
    </row>
    <row r="187" spans="1:12">
      <c r="A187" s="3203"/>
      <c r="B187" s="3203"/>
      <c r="C187" s="3203"/>
      <c r="D187" s="2786"/>
      <c r="E187" s="2786"/>
      <c r="F187" s="2786"/>
      <c r="G187" s="2786"/>
      <c r="H187" s="3204"/>
      <c r="I187" s="3204"/>
      <c r="J187" s="3204"/>
      <c r="K187" s="2786"/>
      <c r="L187" s="2787"/>
    </row>
    <row r="188" spans="1:12">
      <c r="A188" s="2791"/>
      <c r="B188" s="2791"/>
      <c r="C188" s="2791"/>
      <c r="D188" s="2791"/>
      <c r="E188" s="3200" t="s">
        <v>2412</v>
      </c>
      <c r="F188" s="3200"/>
      <c r="G188" s="2791"/>
      <c r="H188" s="3205">
        <v>46809.643700000001</v>
      </c>
      <c r="I188" s="3205"/>
      <c r="J188" s="3205"/>
      <c r="K188" s="2783"/>
      <c r="L188" s="3205">
        <v>2571553.31</v>
      </c>
    </row>
    <row r="189" spans="1:12">
      <c r="A189" s="2791"/>
      <c r="B189" s="2791"/>
      <c r="C189" s="2791"/>
      <c r="D189" s="2791"/>
      <c r="E189" s="2791"/>
      <c r="F189" s="2791"/>
      <c r="G189" s="2791"/>
      <c r="H189" s="3205"/>
      <c r="I189" s="3205"/>
      <c r="J189" s="3205"/>
      <c r="K189" s="2783"/>
      <c r="L189" s="3205"/>
    </row>
    <row r="190" spans="1:12" ht="27">
      <c r="A190" s="2780" t="s">
        <v>2408</v>
      </c>
      <c r="B190" s="2788"/>
      <c r="C190" s="2780" t="s">
        <v>671</v>
      </c>
      <c r="D190" s="2788"/>
      <c r="E190" s="2780" t="s">
        <v>2409</v>
      </c>
      <c r="F190" s="2788"/>
      <c r="G190" s="2789"/>
      <c r="H190" s="2789"/>
      <c r="I190" s="2789"/>
      <c r="J190" s="2789"/>
      <c r="K190" s="2789"/>
      <c r="L190" s="2789"/>
    </row>
    <row r="191" spans="1:12">
      <c r="A191" s="2783"/>
      <c r="B191" s="2783"/>
      <c r="C191" s="2783"/>
      <c r="D191" s="2783"/>
      <c r="E191" s="2783"/>
      <c r="F191" s="2783"/>
      <c r="G191" s="2783"/>
      <c r="H191" s="2783"/>
      <c r="I191" s="2783"/>
      <c r="J191" s="2783"/>
      <c r="K191" s="2783"/>
      <c r="L191" s="2783"/>
    </row>
    <row r="192" spans="1:12">
      <c r="A192" s="2791"/>
      <c r="B192" s="2789"/>
      <c r="C192" s="2789"/>
      <c r="D192" s="2789"/>
      <c r="E192" s="2789"/>
      <c r="F192" s="2789"/>
      <c r="G192" s="2789"/>
      <c r="H192" s="3200" t="s">
        <v>2410</v>
      </c>
      <c r="I192" s="3200"/>
      <c r="J192" s="2783"/>
      <c r="K192" s="3201">
        <v>0</v>
      </c>
      <c r="L192" s="3201"/>
    </row>
    <row r="193" spans="1:12">
      <c r="A193" s="2789"/>
      <c r="B193" s="2789"/>
      <c r="C193" s="2789"/>
      <c r="D193" s="2789"/>
      <c r="E193" s="2789"/>
      <c r="F193" s="2789"/>
      <c r="G193" s="2789"/>
      <c r="H193" s="2783"/>
      <c r="I193" s="2783"/>
      <c r="J193" s="2783"/>
      <c r="K193" s="3201"/>
      <c r="L193" s="3201"/>
    </row>
    <row r="194" spans="1:12">
      <c r="A194" s="2785">
        <v>71859</v>
      </c>
      <c r="B194" s="2783"/>
      <c r="C194" s="3202" t="s">
        <v>2438</v>
      </c>
      <c r="D194" s="3202"/>
      <c r="E194" s="3202"/>
      <c r="F194" s="3202"/>
      <c r="G194" s="3202"/>
      <c r="H194" s="3202"/>
      <c r="I194" s="3202"/>
      <c r="J194" s="2783"/>
      <c r="K194" s="2783"/>
      <c r="L194" s="2783"/>
    </row>
    <row r="195" spans="1:12">
      <c r="A195" s="2783"/>
      <c r="B195" s="2783"/>
      <c r="C195" s="2783"/>
      <c r="D195" s="2783"/>
      <c r="E195" s="2783"/>
      <c r="F195" s="2783"/>
      <c r="G195" s="2783"/>
      <c r="H195" s="2783"/>
      <c r="I195" s="2783"/>
      <c r="J195" s="2783"/>
      <c r="K195" s="2783"/>
      <c r="L195" s="2783"/>
    </row>
    <row r="196" spans="1:12">
      <c r="A196" s="3203"/>
      <c r="B196" s="3203"/>
      <c r="C196" s="3203"/>
      <c r="D196" s="2786"/>
      <c r="E196" s="2786"/>
      <c r="F196" s="2786"/>
      <c r="G196" s="2786"/>
      <c r="H196" s="3204"/>
      <c r="I196" s="3204"/>
      <c r="J196" s="3204"/>
      <c r="K196" s="2786"/>
      <c r="L196" s="2787"/>
    </row>
    <row r="197" spans="1:12">
      <c r="A197" s="2791"/>
      <c r="B197" s="2791"/>
      <c r="C197" s="2791"/>
      <c r="D197" s="2791"/>
      <c r="E197" s="3200" t="s">
        <v>2412</v>
      </c>
      <c r="F197" s="3200"/>
      <c r="G197" s="2791"/>
      <c r="H197" s="3201">
        <v>0</v>
      </c>
      <c r="I197" s="3201"/>
      <c r="J197" s="3201"/>
      <c r="K197" s="2783"/>
      <c r="L197" s="3201">
        <v>0</v>
      </c>
    </row>
    <row r="198" spans="1:12">
      <c r="A198" s="2791"/>
      <c r="B198" s="2791"/>
      <c r="C198" s="2791"/>
      <c r="D198" s="2791"/>
      <c r="E198" s="2791"/>
      <c r="F198" s="2791"/>
      <c r="G198" s="2791"/>
      <c r="H198" s="3201"/>
      <c r="I198" s="3201"/>
      <c r="J198" s="3201"/>
      <c r="K198" s="2783"/>
      <c r="L198" s="3201"/>
    </row>
  </sheetData>
  <mergeCells count="176">
    <mergeCell ref="H192:I192"/>
    <mergeCell ref="K192:L193"/>
    <mergeCell ref="C194:I194"/>
    <mergeCell ref="A196:C196"/>
    <mergeCell ref="H196:J196"/>
    <mergeCell ref="E197:F197"/>
    <mergeCell ref="H197:J198"/>
    <mergeCell ref="L197:L198"/>
    <mergeCell ref="H183:I183"/>
    <mergeCell ref="K183:L184"/>
    <mergeCell ref="C185:I185"/>
    <mergeCell ref="A187:C187"/>
    <mergeCell ref="H187:J187"/>
    <mergeCell ref="E188:F188"/>
    <mergeCell ref="H188:J189"/>
    <mergeCell ref="L188:L189"/>
    <mergeCell ref="H174:I174"/>
    <mergeCell ref="K174:L175"/>
    <mergeCell ref="C176:I176"/>
    <mergeCell ref="A178:C178"/>
    <mergeCell ref="H178:J178"/>
    <mergeCell ref="E179:F179"/>
    <mergeCell ref="H179:J180"/>
    <mergeCell ref="L179:L180"/>
    <mergeCell ref="H165:I165"/>
    <mergeCell ref="K165:L166"/>
    <mergeCell ref="C167:I167"/>
    <mergeCell ref="A169:C169"/>
    <mergeCell ref="H169:J169"/>
    <mergeCell ref="E170:F170"/>
    <mergeCell ref="H170:J171"/>
    <mergeCell ref="L170:L171"/>
    <mergeCell ref="H156:I156"/>
    <mergeCell ref="K156:L157"/>
    <mergeCell ref="C158:I158"/>
    <mergeCell ref="A160:C160"/>
    <mergeCell ref="H160:J160"/>
    <mergeCell ref="E161:F161"/>
    <mergeCell ref="H161:J162"/>
    <mergeCell ref="L161:L162"/>
    <mergeCell ref="H147:I147"/>
    <mergeCell ref="K147:L148"/>
    <mergeCell ref="C149:I149"/>
    <mergeCell ref="A151:C151"/>
    <mergeCell ref="H151:J151"/>
    <mergeCell ref="E152:F152"/>
    <mergeCell ref="H152:J153"/>
    <mergeCell ref="L152:L153"/>
    <mergeCell ref="H138:I138"/>
    <mergeCell ref="K138:L139"/>
    <mergeCell ref="C140:I140"/>
    <mergeCell ref="A142:C142"/>
    <mergeCell ref="H142:J142"/>
    <mergeCell ref="E143:F143"/>
    <mergeCell ref="H143:J144"/>
    <mergeCell ref="L143:L144"/>
    <mergeCell ref="H129:I129"/>
    <mergeCell ref="K129:L130"/>
    <mergeCell ref="C131:I131"/>
    <mergeCell ref="A133:C133"/>
    <mergeCell ref="H133:J133"/>
    <mergeCell ref="E134:F134"/>
    <mergeCell ref="H134:J135"/>
    <mergeCell ref="L134:L135"/>
    <mergeCell ref="H120:I120"/>
    <mergeCell ref="K120:L121"/>
    <mergeCell ref="C122:I122"/>
    <mergeCell ref="A124:C124"/>
    <mergeCell ref="H124:J124"/>
    <mergeCell ref="E125:F125"/>
    <mergeCell ref="H125:J126"/>
    <mergeCell ref="L125:L126"/>
    <mergeCell ref="H111:I111"/>
    <mergeCell ref="K111:L112"/>
    <mergeCell ref="C113:I113"/>
    <mergeCell ref="A115:C115"/>
    <mergeCell ref="H115:J115"/>
    <mergeCell ref="E116:F116"/>
    <mergeCell ref="H116:J117"/>
    <mergeCell ref="L116:L117"/>
    <mergeCell ref="H102:I102"/>
    <mergeCell ref="K102:L103"/>
    <mergeCell ref="C104:I104"/>
    <mergeCell ref="A106:C106"/>
    <mergeCell ref="H106:J106"/>
    <mergeCell ref="E107:F107"/>
    <mergeCell ref="H107:J108"/>
    <mergeCell ref="L107:L108"/>
    <mergeCell ref="H93:I93"/>
    <mergeCell ref="K93:L94"/>
    <mergeCell ref="C95:I95"/>
    <mergeCell ref="A97:C97"/>
    <mergeCell ref="H97:J97"/>
    <mergeCell ref="E98:F98"/>
    <mergeCell ref="H98:J99"/>
    <mergeCell ref="L98:L99"/>
    <mergeCell ref="H84:I84"/>
    <mergeCell ref="K84:L85"/>
    <mergeCell ref="C86:I86"/>
    <mergeCell ref="A88:C88"/>
    <mergeCell ref="H88:J88"/>
    <mergeCell ref="E89:F89"/>
    <mergeCell ref="H89:J90"/>
    <mergeCell ref="L89:L90"/>
    <mergeCell ref="H75:I75"/>
    <mergeCell ref="K75:L76"/>
    <mergeCell ref="C77:I77"/>
    <mergeCell ref="A79:C79"/>
    <mergeCell ref="H79:J79"/>
    <mergeCell ref="E80:F80"/>
    <mergeCell ref="H80:J81"/>
    <mergeCell ref="L80:L81"/>
    <mergeCell ref="H66:I66"/>
    <mergeCell ref="K66:L67"/>
    <mergeCell ref="C68:I68"/>
    <mergeCell ref="A70:C70"/>
    <mergeCell ref="H70:J70"/>
    <mergeCell ref="E71:F71"/>
    <mergeCell ref="H71:J72"/>
    <mergeCell ref="L71:L72"/>
    <mergeCell ref="H57:I57"/>
    <mergeCell ref="K57:L58"/>
    <mergeCell ref="C59:I59"/>
    <mergeCell ref="A61:C61"/>
    <mergeCell ref="H61:J61"/>
    <mergeCell ref="E62:F62"/>
    <mergeCell ref="H62:J63"/>
    <mergeCell ref="L62:L63"/>
    <mergeCell ref="H48:I48"/>
    <mergeCell ref="K48:L49"/>
    <mergeCell ref="C50:I50"/>
    <mergeCell ref="A52:C52"/>
    <mergeCell ref="H52:J52"/>
    <mergeCell ref="E53:F53"/>
    <mergeCell ref="H53:J54"/>
    <mergeCell ref="L53:L54"/>
    <mergeCell ref="H39:I39"/>
    <mergeCell ref="K39:L40"/>
    <mergeCell ref="C41:I41"/>
    <mergeCell ref="A43:C43"/>
    <mergeCell ref="H43:J43"/>
    <mergeCell ref="E44:F44"/>
    <mergeCell ref="H44:J45"/>
    <mergeCell ref="L44:L45"/>
    <mergeCell ref="H30:I30"/>
    <mergeCell ref="K30:L31"/>
    <mergeCell ref="C32:I32"/>
    <mergeCell ref="A34:C34"/>
    <mergeCell ref="H34:J34"/>
    <mergeCell ref="E35:F35"/>
    <mergeCell ref="H35:J36"/>
    <mergeCell ref="L35:L36"/>
    <mergeCell ref="H21:I21"/>
    <mergeCell ref="K21:L22"/>
    <mergeCell ref="C23:I23"/>
    <mergeCell ref="A25:C25"/>
    <mergeCell ref="H25:J25"/>
    <mergeCell ref="E26:F26"/>
    <mergeCell ref="H26:J27"/>
    <mergeCell ref="L26:L27"/>
    <mergeCell ref="H12:I12"/>
    <mergeCell ref="K12:L13"/>
    <mergeCell ref="C14:I14"/>
    <mergeCell ref="A16:C16"/>
    <mergeCell ref="H16:J16"/>
    <mergeCell ref="E17:F17"/>
    <mergeCell ref="H17:J18"/>
    <mergeCell ref="L17:L18"/>
    <mergeCell ref="H3:I3"/>
    <mergeCell ref="K3:L4"/>
    <mergeCell ref="C5:I5"/>
    <mergeCell ref="A7:C7"/>
    <mergeCell ref="H7:J7"/>
    <mergeCell ref="E8:F8"/>
    <mergeCell ref="H8:J9"/>
    <mergeCell ref="L8:L9"/>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339:T376"/>
  <sheetViews>
    <sheetView view="pageBreakPreview" zoomScaleNormal="90" zoomScaleSheetLayoutView="100" workbookViewId="0">
      <selection activeCell="B48" sqref="B48"/>
    </sheetView>
  </sheetViews>
  <sheetFormatPr defaultColWidth="9" defaultRowHeight="12"/>
  <cols>
    <col min="1" max="1" width="5.125" style="1857" customWidth="1"/>
    <col min="2" max="2" width="2.375" style="1727" customWidth="1"/>
    <col min="3" max="3" width="25.625" style="1727" customWidth="1"/>
    <col min="4" max="4" width="5.625" style="1727" customWidth="1"/>
    <col min="5" max="5" width="10.375" style="1727" customWidth="1"/>
    <col min="6" max="6" width="1.25" style="1727" customWidth="1"/>
    <col min="7" max="7" width="10.375" style="1727" customWidth="1"/>
    <col min="8" max="8" width="1.25" style="1727" customWidth="1"/>
    <col min="9" max="9" width="10.375" style="1727" customWidth="1"/>
    <col min="10" max="10" width="1.25" style="1727" customWidth="1"/>
    <col min="11" max="11" width="10.375" style="1727" customWidth="1"/>
    <col min="12" max="12" width="1.25" style="1727" customWidth="1"/>
    <col min="13" max="13" width="10.25" style="1727" customWidth="1"/>
    <col min="14" max="16" width="9" style="1727"/>
    <col min="17" max="17" width="17.375" style="1727" customWidth="1"/>
    <col min="18" max="18" width="13.875" style="1727" customWidth="1"/>
    <col min="19" max="19" width="17.75" style="1727" customWidth="1"/>
    <col min="20" max="16384" width="9" style="1727"/>
  </cols>
  <sheetData>
    <row r="339" spans="1:20">
      <c r="B339" s="1918"/>
    </row>
    <row r="341" spans="1:20">
      <c r="A341" s="1658"/>
      <c r="B341" s="1743"/>
      <c r="C341" s="1659"/>
      <c r="D341" s="1743"/>
      <c r="E341" s="1719"/>
      <c r="F341" s="1719"/>
      <c r="G341" s="1719"/>
      <c r="H341" s="1719"/>
      <c r="I341" s="1719"/>
      <c r="J341" s="1719"/>
      <c r="K341" s="1719"/>
      <c r="L341" s="1660"/>
    </row>
    <row r="342" spans="1:20">
      <c r="B342" s="1659"/>
      <c r="C342" s="1659"/>
      <c r="D342" s="1719"/>
      <c r="E342" s="1719"/>
      <c r="F342" s="1719"/>
      <c r="G342" s="1719"/>
      <c r="H342" s="1719"/>
      <c r="I342" s="1719"/>
      <c r="J342" s="1719"/>
      <c r="K342" s="1719"/>
      <c r="L342" s="1660"/>
    </row>
    <row r="343" spans="1:20">
      <c r="B343" s="3206"/>
      <c r="C343" s="3207"/>
      <c r="D343" s="3207"/>
      <c r="E343" s="3207"/>
      <c r="F343" s="3207"/>
      <c r="G343" s="3207"/>
      <c r="H343" s="3207"/>
      <c r="I343" s="3207"/>
      <c r="J343" s="3207"/>
      <c r="K343" s="3207"/>
      <c r="L343" s="3207"/>
      <c r="M343" s="1677"/>
    </row>
    <row r="344" spans="1:20">
      <c r="B344" s="3207"/>
      <c r="C344" s="3207"/>
      <c r="D344" s="3207"/>
      <c r="E344" s="3207"/>
      <c r="F344" s="3207"/>
      <c r="G344" s="3207"/>
      <c r="H344" s="3207"/>
      <c r="I344" s="3207"/>
      <c r="J344" s="3207"/>
      <c r="K344" s="3207"/>
      <c r="L344" s="3207"/>
      <c r="M344" s="1677"/>
      <c r="P344" s="1661"/>
      <c r="Q344" s="1662"/>
      <c r="R344" s="1663"/>
      <c r="S344" s="1664"/>
    </row>
    <row r="345" spans="1:20">
      <c r="B345" s="3207"/>
      <c r="C345" s="3207"/>
      <c r="D345" s="3207"/>
      <c r="E345" s="3207"/>
      <c r="F345" s="3207"/>
      <c r="G345" s="3207"/>
      <c r="H345" s="3207"/>
      <c r="I345" s="3207"/>
      <c r="J345" s="3207"/>
      <c r="K345" s="3207"/>
      <c r="L345" s="3207"/>
      <c r="M345" s="1677"/>
      <c r="P345" s="1665"/>
      <c r="Q345" s="1666"/>
      <c r="R345" s="1666"/>
      <c r="S345" s="1667"/>
    </row>
    <row r="346" spans="1:20">
      <c r="A346" s="1727"/>
      <c r="P346" s="1665"/>
      <c r="Q346" s="1666"/>
      <c r="R346" s="1666"/>
      <c r="S346" s="1667"/>
    </row>
    <row r="347" spans="1:20" hidden="1">
      <c r="A347" s="1727"/>
      <c r="P347" s="1665" t="s">
        <v>2022</v>
      </c>
      <c r="Q347" s="1666"/>
      <c r="R347" s="1917">
        <f>1951126176.07609/1000</f>
        <v>1951126.1760760902</v>
      </c>
      <c r="S347" s="1768"/>
      <c r="T347" s="1668" t="s">
        <v>2023</v>
      </c>
    </row>
    <row r="348" spans="1:20">
      <c r="A348" s="1727"/>
      <c r="P348" s="1665" t="s">
        <v>2024</v>
      </c>
      <c r="Q348" s="1666"/>
      <c r="R348" s="1669">
        <v>18105</v>
      </c>
      <c r="S348" s="1667"/>
    </row>
    <row r="349" spans="1:20">
      <c r="A349" s="1727"/>
      <c r="P349" s="1665"/>
      <c r="Q349" s="1666"/>
      <c r="R349" s="1670">
        <f>R348/R347</f>
        <v>9.2792563710107998E-3</v>
      </c>
      <c r="S349" s="1667"/>
    </row>
    <row r="350" spans="1:20">
      <c r="A350" s="1727"/>
      <c r="P350" s="1665" t="s">
        <v>2025</v>
      </c>
      <c r="Q350" s="1666"/>
      <c r="R350" s="1666">
        <v>3246</v>
      </c>
      <c r="S350" s="1667"/>
    </row>
    <row r="351" spans="1:20">
      <c r="A351" s="1727"/>
      <c r="P351" s="1665"/>
      <c r="Q351" s="1666"/>
      <c r="R351" s="1670">
        <f>R350/R347</f>
        <v>1.6636545805192519E-3</v>
      </c>
      <c r="S351" s="1667"/>
    </row>
    <row r="352" spans="1:20">
      <c r="A352" s="1727"/>
      <c r="P352" s="1665"/>
      <c r="Q352" s="1666"/>
      <c r="S352" s="1667"/>
    </row>
    <row r="353" spans="1:19">
      <c r="A353" s="1727"/>
      <c r="P353" s="1671"/>
      <c r="Q353" s="1672"/>
      <c r="R353" s="1673"/>
      <c r="S353" s="1674"/>
    </row>
    <row r="354" spans="1:19">
      <c r="A354" s="1727"/>
      <c r="P354" s="1666"/>
      <c r="Q354" s="1666"/>
      <c r="R354" s="1670"/>
      <c r="S354" s="1666"/>
    </row>
    <row r="355" spans="1:19">
      <c r="A355" s="1727"/>
      <c r="P355" s="1666"/>
      <c r="Q355" s="1666"/>
      <c r="R355" s="1670"/>
      <c r="S355" s="1666"/>
    </row>
    <row r="356" spans="1:19">
      <c r="A356" s="1727"/>
      <c r="P356" s="1666"/>
      <c r="Q356" s="1666"/>
      <c r="R356" s="1670"/>
      <c r="S356" s="1666"/>
    </row>
    <row r="357" spans="1:19">
      <c r="A357" s="1727"/>
      <c r="P357" s="1666"/>
      <c r="Q357" s="1666"/>
      <c r="R357" s="1670"/>
      <c r="S357" s="1666"/>
    </row>
    <row r="358" spans="1:19">
      <c r="A358" s="1727"/>
      <c r="P358" s="1666"/>
      <c r="Q358" s="1666"/>
      <c r="R358" s="1670"/>
      <c r="S358" s="1666"/>
    </row>
    <row r="359" spans="1:19">
      <c r="A359" s="1727"/>
      <c r="P359" s="1666"/>
      <c r="Q359" s="1666"/>
      <c r="R359" s="1670"/>
      <c r="S359" s="1666"/>
    </row>
    <row r="360" spans="1:19">
      <c r="A360" s="1727"/>
      <c r="P360" s="1666"/>
      <c r="Q360" s="1666"/>
      <c r="R360" s="1670"/>
      <c r="S360" s="1666"/>
    </row>
    <row r="361" spans="1:19">
      <c r="A361" s="1727"/>
      <c r="P361" s="1666"/>
      <c r="Q361" s="1666"/>
      <c r="R361" s="1670"/>
      <c r="S361" s="1666"/>
    </row>
    <row r="362" spans="1:19">
      <c r="A362" s="1727"/>
      <c r="P362" s="1666"/>
      <c r="Q362" s="1666"/>
      <c r="R362" s="1670"/>
      <c r="S362" s="1666"/>
    </row>
    <row r="363" spans="1:19">
      <c r="A363" s="1727"/>
      <c r="P363" s="1666"/>
      <c r="Q363" s="1666"/>
      <c r="R363" s="1670"/>
      <c r="S363" s="1666"/>
    </row>
    <row r="364" spans="1:19">
      <c r="A364" s="1727"/>
      <c r="P364" s="1666"/>
      <c r="Q364" s="1666"/>
      <c r="R364" s="1670"/>
      <c r="S364" s="1666"/>
    </row>
    <row r="365" spans="1:19">
      <c r="A365" s="1727"/>
      <c r="P365" s="1666"/>
      <c r="Q365" s="1666"/>
      <c r="R365" s="1670"/>
      <c r="S365" s="1666"/>
    </row>
    <row r="366" spans="1:19">
      <c r="A366" s="1727"/>
      <c r="P366" s="1666"/>
      <c r="Q366" s="1666"/>
      <c r="R366" s="1670"/>
      <c r="S366" s="1666"/>
    </row>
    <row r="367" spans="1:19">
      <c r="A367" s="1727"/>
      <c r="P367" s="1666"/>
      <c r="Q367" s="1666"/>
      <c r="R367" s="1670"/>
      <c r="S367" s="1666"/>
    </row>
    <row r="368" spans="1:19">
      <c r="A368" s="1727"/>
      <c r="P368" s="1666"/>
      <c r="Q368" s="1666"/>
      <c r="R368" s="1670"/>
      <c r="S368" s="1666"/>
    </row>
    <row r="369" spans="1:19">
      <c r="A369" s="1727"/>
      <c r="P369" s="1666"/>
      <c r="Q369" s="1666"/>
      <c r="R369" s="1670"/>
      <c r="S369" s="1666"/>
    </row>
    <row r="370" spans="1:19">
      <c r="A370" s="1727"/>
      <c r="P370" s="1666"/>
      <c r="Q370" s="1666"/>
      <c r="R370" s="1670"/>
      <c r="S370" s="1666"/>
    </row>
    <row r="371" spans="1:19">
      <c r="A371" s="1727"/>
      <c r="P371" s="1666"/>
      <c r="Q371" s="1666"/>
      <c r="R371" s="1670"/>
      <c r="S371" s="1666"/>
    </row>
    <row r="372" spans="1:19">
      <c r="A372" s="1727"/>
      <c r="P372" s="1666"/>
      <c r="Q372" s="1666"/>
      <c r="R372" s="1670"/>
      <c r="S372" s="1666"/>
    </row>
    <row r="373" spans="1:19">
      <c r="P373" s="1666"/>
      <c r="Q373" s="1666"/>
      <c r="R373" s="1670"/>
      <c r="S373" s="1666"/>
    </row>
    <row r="374" spans="1:19">
      <c r="P374" s="1666"/>
      <c r="Q374" s="1666"/>
      <c r="R374" s="1670"/>
      <c r="S374" s="1666"/>
    </row>
    <row r="375" spans="1:19">
      <c r="P375" s="1666"/>
      <c r="Q375" s="1666"/>
      <c r="R375" s="1670"/>
      <c r="S375" s="1666"/>
    </row>
    <row r="376" spans="1:19">
      <c r="P376" s="1666"/>
      <c r="Q376" s="1666"/>
      <c r="R376" s="1670"/>
      <c r="S376" s="1666"/>
    </row>
  </sheetData>
  <mergeCells count="1">
    <mergeCell ref="B343:L345"/>
  </mergeCells>
  <printOptions horizontalCentered="1"/>
  <pageMargins left="0.75" right="0.5" top="0.5" bottom="0.4" header="0.54" footer="0.23"/>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281"/>
  <sheetViews>
    <sheetView view="pageBreakPreview" topLeftCell="A12" zoomScaleNormal="80" zoomScaleSheetLayoutView="100" workbookViewId="0">
      <selection activeCell="B48" sqref="B48"/>
    </sheetView>
  </sheetViews>
  <sheetFormatPr defaultColWidth="9" defaultRowHeight="12"/>
  <cols>
    <col min="1" max="1" width="5.125" style="1727" customWidth="1"/>
    <col min="2" max="2" width="2.375" style="1727" customWidth="1"/>
    <col min="3" max="3" width="25.625" style="1727" customWidth="1"/>
    <col min="4" max="4" width="5.625" style="1727" customWidth="1"/>
    <col min="5" max="5" width="10.375" style="1727" customWidth="1"/>
    <col min="6" max="6" width="1.25" style="1727" customWidth="1"/>
    <col min="7" max="7" width="10.375" style="1727" customWidth="1"/>
    <col min="8" max="8" width="1.25" style="1727" customWidth="1"/>
    <col min="9" max="9" width="10.375" style="1727" customWidth="1"/>
    <col min="10" max="10" width="1.25" style="1727" customWidth="1"/>
    <col min="11" max="11" width="10.375" style="1727" customWidth="1"/>
    <col min="12" max="12" width="12.625" style="1727" customWidth="1"/>
    <col min="13" max="13" width="13.625" style="1727" hidden="1" customWidth="1"/>
    <col min="14" max="21" width="0" style="1727" hidden="1" customWidth="1"/>
    <col min="22" max="22" width="9" style="1727"/>
    <col min="23" max="23" width="15.5" style="1727" customWidth="1"/>
    <col min="24" max="24" width="15" style="1727" customWidth="1"/>
    <col min="25" max="30" width="9" style="1727"/>
    <col min="31" max="31" width="17.5" style="1727" customWidth="1"/>
    <col min="32" max="16384" width="9" style="1727"/>
  </cols>
  <sheetData>
    <row r="1" spans="1:11" hidden="1"/>
    <row r="2" spans="1:11" hidden="1">
      <c r="A2" s="1679" t="s">
        <v>1875</v>
      </c>
      <c r="B2" s="1691" t="s">
        <v>913</v>
      </c>
      <c r="C2" s="1692"/>
      <c r="D2" s="1835"/>
      <c r="E2" s="1835"/>
      <c r="F2" s="1835"/>
    </row>
    <row r="3" spans="1:11" ht="12" hidden="1" customHeight="1">
      <c r="A3" s="1679"/>
      <c r="B3" s="1835"/>
      <c r="C3" s="1835"/>
      <c r="D3" s="1835"/>
      <c r="E3" s="1835"/>
      <c r="F3" s="1835"/>
    </row>
    <row r="4" spans="1:11" hidden="1">
      <c r="A4" s="1679"/>
      <c r="B4" s="2966" t="s">
        <v>2026</v>
      </c>
      <c r="C4" s="3208"/>
      <c r="D4" s="3208"/>
      <c r="E4" s="3208"/>
      <c r="F4" s="3208"/>
      <c r="G4" s="3208"/>
      <c r="H4" s="3208"/>
      <c r="I4" s="3208"/>
      <c r="J4" s="3208"/>
      <c r="K4" s="3208"/>
    </row>
    <row r="5" spans="1:11" hidden="1">
      <c r="A5" s="1679"/>
      <c r="B5" s="3208"/>
      <c r="C5" s="3208"/>
      <c r="D5" s="3208"/>
      <c r="E5" s="3208"/>
      <c r="F5" s="3208"/>
      <c r="G5" s="3208"/>
      <c r="H5" s="3208"/>
      <c r="I5" s="3208"/>
      <c r="J5" s="3208"/>
      <c r="K5" s="3208"/>
    </row>
    <row r="6" spans="1:11" hidden="1">
      <c r="A6" s="1679"/>
      <c r="B6" s="3208"/>
      <c r="C6" s="3208"/>
      <c r="D6" s="3208"/>
      <c r="E6" s="3208"/>
      <c r="F6" s="3208"/>
      <c r="G6" s="3208"/>
      <c r="H6" s="3208"/>
      <c r="I6" s="3208"/>
      <c r="J6" s="3208"/>
      <c r="K6" s="3208"/>
    </row>
    <row r="7" spans="1:11" hidden="1">
      <c r="A7" s="1679"/>
      <c r="B7" s="3208"/>
      <c r="C7" s="3208"/>
      <c r="D7" s="3208"/>
      <c r="E7" s="3208"/>
      <c r="F7" s="3208"/>
      <c r="G7" s="3208"/>
      <c r="H7" s="3208"/>
      <c r="I7" s="3208"/>
      <c r="J7" s="3208"/>
      <c r="K7" s="3208"/>
    </row>
    <row r="8" spans="1:11" hidden="1">
      <c r="A8" s="1679"/>
      <c r="B8" s="3208"/>
      <c r="C8" s="3208"/>
      <c r="D8" s="3208"/>
      <c r="E8" s="3208"/>
      <c r="F8" s="3208"/>
      <c r="G8" s="3208"/>
      <c r="H8" s="3208"/>
      <c r="I8" s="3208"/>
      <c r="J8" s="3208"/>
      <c r="K8" s="3208"/>
    </row>
    <row r="9" spans="1:11" ht="18.75" hidden="1" customHeight="1">
      <c r="A9" s="1679"/>
      <c r="B9" s="3208"/>
      <c r="C9" s="3208"/>
      <c r="D9" s="3208"/>
      <c r="E9" s="3208"/>
      <c r="F9" s="3208"/>
      <c r="G9" s="3208"/>
      <c r="H9" s="3208"/>
      <c r="I9" s="3208"/>
      <c r="J9" s="3208"/>
      <c r="K9" s="3208"/>
    </row>
    <row r="10" spans="1:11" ht="12" hidden="1" customHeight="1">
      <c r="A10" s="1679"/>
      <c r="B10" s="1836"/>
      <c r="C10" s="1836"/>
      <c r="D10" s="1836"/>
      <c r="E10" s="1836"/>
      <c r="F10" s="1836"/>
    </row>
    <row r="11" spans="1:11" ht="12" hidden="1" customHeight="1">
      <c r="A11" s="1679"/>
      <c r="B11" s="1836"/>
      <c r="C11" s="1836"/>
      <c r="D11" s="1836"/>
      <c r="E11" s="1836"/>
      <c r="F11" s="1836"/>
    </row>
    <row r="12" spans="1:11">
      <c r="A12" s="1679"/>
      <c r="B12" s="1836"/>
      <c r="C12" s="1836"/>
      <c r="D12" s="1836"/>
      <c r="E12" s="1836"/>
      <c r="F12" s="1836"/>
    </row>
    <row r="279" spans="1:11" s="1692" customFormat="1">
      <c r="A279" s="1830"/>
      <c r="B279" s="1830"/>
      <c r="C279" s="1830"/>
      <c r="D279" s="1830"/>
      <c r="E279" s="1830"/>
      <c r="F279" s="1830"/>
      <c r="G279" s="1830"/>
      <c r="H279" s="1830"/>
      <c r="I279" s="1830"/>
      <c r="J279" s="1830"/>
      <c r="K279" s="1830"/>
    </row>
    <row r="280" spans="1:11" s="1692" customFormat="1">
      <c r="A280" s="1928"/>
      <c r="B280" s="1735"/>
      <c r="C280" s="1735"/>
    </row>
    <row r="281" spans="1:11" s="1692" customFormat="1">
      <c r="A281" s="1928"/>
      <c r="B281" s="1735"/>
      <c r="C281" s="1735"/>
    </row>
  </sheetData>
  <mergeCells count="1">
    <mergeCell ref="B4:K9"/>
  </mergeCells>
  <printOptions horizontalCentered="1"/>
  <pageMargins left="0.75" right="0.5" top="0.5" bottom="0.4" header="0.54" footer="0.23"/>
  <pageSetup paperSize="9" fitToHeight="1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C186"/>
  <sheetViews>
    <sheetView view="pageBreakPreview" zoomScaleNormal="100" zoomScaleSheetLayoutView="100" workbookViewId="0">
      <selection activeCell="B48" sqref="B48"/>
    </sheetView>
  </sheetViews>
  <sheetFormatPr defaultColWidth="0" defaultRowHeight="12" zeroHeight="1"/>
  <cols>
    <col min="1" max="1" width="5.5" style="1681" customWidth="1"/>
    <col min="2" max="2" width="3.625" style="1692" customWidth="1"/>
    <col min="3" max="3" width="21.5" style="1692" customWidth="1"/>
    <col min="4" max="4" width="2.5" style="1692" customWidth="1"/>
    <col min="5" max="5" width="15" style="1692" customWidth="1"/>
    <col min="6" max="6" width="11.5" style="1692" customWidth="1"/>
    <col min="7" max="7" width="9.25" style="1692" customWidth="1"/>
    <col min="8" max="8" width="0.625" style="1692" customWidth="1"/>
    <col min="9" max="9" width="19.875" style="1692" customWidth="1"/>
    <col min="10" max="10" width="0.875" style="1692" customWidth="1"/>
    <col min="11" max="11" width="14.75" style="1692" customWidth="1"/>
    <col min="12" max="12" width="23.375" style="1759" hidden="1" customWidth="1"/>
    <col min="13" max="13" width="16.375" style="1759" hidden="1" customWidth="1"/>
    <col min="14" max="14" width="13.375" style="1759" hidden="1" customWidth="1"/>
    <col min="15" max="15" width="14.25" style="1692" hidden="1" customWidth="1"/>
    <col min="16" max="16" width="12" style="1692" hidden="1" customWidth="1"/>
    <col min="17" max="17" width="39.75" style="1692" hidden="1" customWidth="1"/>
    <col min="18" max="18" width="32.25" style="1692" hidden="1" customWidth="1"/>
    <col min="19" max="19" width="33" style="1692" hidden="1" customWidth="1"/>
    <col min="20" max="20" width="6.625" style="1692" hidden="1" customWidth="1"/>
    <col min="21" max="21" width="16.375" style="1692" hidden="1" customWidth="1"/>
    <col min="22" max="22" width="9.25" style="1692" hidden="1" customWidth="1"/>
    <col min="23" max="25" width="9" style="1692" hidden="1" customWidth="1"/>
    <col min="26" max="29" width="10.625" style="1692" hidden="1" customWidth="1"/>
    <col min="30" max="16384" width="8" style="1692" hidden="1"/>
  </cols>
  <sheetData>
    <row r="1" spans="1:11">
      <c r="K1" s="1882"/>
    </row>
    <row r="2" spans="1:11">
      <c r="A2" s="1692"/>
    </row>
    <row r="3" spans="1:11"/>
    <row r="4" spans="1:11"/>
    <row r="5" spans="1:11"/>
    <row r="6" spans="1:11"/>
    <row r="7" spans="1:11"/>
    <row r="8" spans="1:11"/>
    <row r="9" spans="1:11"/>
    <row r="10" spans="1:11"/>
    <row r="11" spans="1:11"/>
    <row r="12" spans="1:11"/>
    <row r="13" spans="1:11"/>
    <row r="14" spans="1:11"/>
    <row r="15" spans="1:11"/>
    <row r="16" spans="1:11"/>
    <row r="17" spans="1:1"/>
    <row r="18" spans="1:1"/>
    <row r="19" spans="1:1"/>
    <row r="20" spans="1:1"/>
    <row r="21" spans="1:1"/>
    <row r="22" spans="1:1"/>
    <row r="23" spans="1:1"/>
    <row r="24" spans="1:1"/>
    <row r="25" spans="1:1"/>
    <row r="26" spans="1:1" hidden="1">
      <c r="A26" s="1692"/>
    </row>
    <row r="27" spans="1:1" ht="8.25" hidden="1" customHeight="1">
      <c r="A27" s="1692"/>
    </row>
    <row r="28" spans="1:1" hidden="1">
      <c r="A28" s="1692"/>
    </row>
    <row r="29" spans="1:1" ht="8.25" hidden="1" customHeight="1">
      <c r="A29" s="1692"/>
    </row>
    <row r="30" spans="1:1" hidden="1">
      <c r="A30" s="1692"/>
    </row>
    <row r="31" spans="1:1" hidden="1">
      <c r="A31" s="1692"/>
    </row>
    <row r="32" spans="1:1" hidden="1">
      <c r="A32" s="1692"/>
    </row>
    <row r="33" spans="1:12" ht="8.25" hidden="1" customHeight="1">
      <c r="A33" s="1692"/>
    </row>
    <row r="34" spans="1:12" hidden="1">
      <c r="A34" s="1692"/>
    </row>
    <row r="35" spans="1:12" ht="8.25" hidden="1" customHeight="1">
      <c r="A35" s="1692"/>
    </row>
    <row r="36" spans="1:12" hidden="1">
      <c r="A36" s="1692"/>
      <c r="L36" s="1781" t="s">
        <v>817</v>
      </c>
    </row>
    <row r="37" spans="1:12" ht="12" hidden="1" customHeight="1">
      <c r="A37" s="1692"/>
      <c r="L37" s="1781"/>
    </row>
    <row r="38" spans="1:12" hidden="1">
      <c r="A38" s="1692"/>
    </row>
    <row r="39" spans="1:12" hidden="1">
      <c r="A39" s="1692"/>
    </row>
    <row r="40" spans="1:12" ht="12.75" hidden="1" customHeight="1"/>
    <row r="41" spans="1:12" hidden="1"/>
    <row r="42" spans="1:12" hidden="1">
      <c r="A42" s="1692"/>
    </row>
    <row r="43" spans="1:12" hidden="1">
      <c r="A43" s="1692"/>
    </row>
    <row r="44" spans="1:12" hidden="1">
      <c r="A44" s="1692"/>
    </row>
    <row r="45" spans="1:12" hidden="1">
      <c r="A45" s="1692"/>
    </row>
    <row r="46" spans="1:12" hidden="1">
      <c r="A46" s="1692"/>
    </row>
    <row r="47" spans="1:12" hidden="1">
      <c r="A47" s="1692"/>
    </row>
    <row r="48" spans="1:12" hidden="1">
      <c r="A48" s="1692"/>
    </row>
    <row r="49" spans="1:1" hidden="1">
      <c r="A49" s="1692"/>
    </row>
    <row r="50" spans="1:1" hidden="1">
      <c r="A50" s="1692"/>
    </row>
    <row r="51" spans="1:1" hidden="1">
      <c r="A51" s="1692"/>
    </row>
    <row r="52" spans="1:1" hidden="1">
      <c r="A52" s="1692"/>
    </row>
    <row r="53" spans="1:1" hidden="1">
      <c r="A53" s="1692"/>
    </row>
    <row r="54" spans="1:1" hidden="1">
      <c r="A54" s="1692"/>
    </row>
    <row r="55" spans="1:1" hidden="1">
      <c r="A55" s="1692"/>
    </row>
    <row r="56" spans="1:1" hidden="1">
      <c r="A56" s="1692"/>
    </row>
    <row r="57" spans="1:1" hidden="1">
      <c r="A57" s="1692"/>
    </row>
    <row r="58" spans="1:1" hidden="1">
      <c r="A58" s="1692"/>
    </row>
    <row r="59" spans="1:1" hidden="1">
      <c r="A59" s="1692"/>
    </row>
    <row r="60" spans="1:1" hidden="1">
      <c r="A60" s="1692"/>
    </row>
    <row r="61" spans="1:1" hidden="1">
      <c r="A61" s="1692"/>
    </row>
    <row r="62" spans="1:1" hidden="1">
      <c r="A62" s="1692"/>
    </row>
    <row r="63" spans="1:1"/>
    <row r="64" spans="1:1"/>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sheetData>
  <sortState ref="L186:M209">
    <sortCondition descending="1" ref="M186:M209"/>
  </sortState>
  <printOptions horizontalCentered="1"/>
  <pageMargins left="0.75" right="0.5" top="0.5" bottom="0.4" header="0.54" footer="0.2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5"/>
  <sheetViews>
    <sheetView topLeftCell="B100" zoomScale="80" zoomScaleNormal="80" workbookViewId="0">
      <selection activeCell="B100" sqref="B100"/>
    </sheetView>
  </sheetViews>
  <sheetFormatPr defaultColWidth="9" defaultRowHeight="15.75"/>
  <cols>
    <col min="1" max="1" width="13.25" style="2263" customWidth="1"/>
    <col min="2" max="2" width="88.5" style="2263" customWidth="1"/>
    <col min="3" max="4" width="16.75" style="2262" customWidth="1"/>
    <col min="5" max="7" width="9.75" style="2262" customWidth="1"/>
    <col min="8" max="8" width="46.625" style="2262" customWidth="1"/>
    <col min="9" max="9" width="16.75" style="2262" customWidth="1"/>
    <col min="10" max="10" width="10.5" style="2263" customWidth="1"/>
    <col min="11" max="11" width="11.875" style="2263" customWidth="1"/>
    <col min="12" max="12" width="13.25" style="2263" customWidth="1"/>
    <col min="13" max="14" width="11.875" style="2263" customWidth="1"/>
    <col min="15" max="15" width="9.875" style="2263" bestFit="1" customWidth="1"/>
    <col min="16" max="16" width="9.5" style="2263" customWidth="1"/>
    <col min="17" max="16384" width="9" style="2263"/>
  </cols>
  <sheetData>
    <row r="1" spans="1:12">
      <c r="A1" s="2263" t="s">
        <v>1897</v>
      </c>
      <c r="C1" s="2263"/>
      <c r="D1" s="2263"/>
      <c r="E1" s="2263"/>
      <c r="F1" s="2263"/>
      <c r="G1" s="2263"/>
      <c r="H1" s="2263"/>
      <c r="I1" s="2263"/>
    </row>
    <row r="2" spans="1:12">
      <c r="A2" s="2263" t="s">
        <v>1898</v>
      </c>
      <c r="B2" s="2263" t="s">
        <v>1899</v>
      </c>
      <c r="C2" s="2263" t="s">
        <v>1900</v>
      </c>
      <c r="D2" s="2263" t="s">
        <v>1901</v>
      </c>
      <c r="E2" s="2592" t="s">
        <v>1900</v>
      </c>
      <c r="F2" s="2592" t="s">
        <v>1901</v>
      </c>
      <c r="G2" s="2263"/>
      <c r="H2" s="2263"/>
      <c r="I2" s="2263"/>
    </row>
    <row r="3" spans="1:12">
      <c r="A3" s="2591">
        <v>10100100001</v>
      </c>
      <c r="B3" s="852" t="s">
        <v>12</v>
      </c>
      <c r="C3" s="1541">
        <v>250035064.90000001</v>
      </c>
      <c r="D3" s="1541">
        <v>0</v>
      </c>
      <c r="E3" s="2593">
        <f t="shared" ref="E3:F18" si="0">ROUND(C3/1000,0)</f>
        <v>250035</v>
      </c>
      <c r="F3" s="2593">
        <f t="shared" si="0"/>
        <v>0</v>
      </c>
    </row>
    <row r="4" spans="1:12">
      <c r="A4" s="2591">
        <v>10100100005</v>
      </c>
      <c r="B4" s="852" t="s">
        <v>14</v>
      </c>
      <c r="C4" s="1541">
        <v>804736.83000000007</v>
      </c>
      <c r="D4" s="1541">
        <v>0</v>
      </c>
      <c r="E4" s="2593">
        <f t="shared" si="0"/>
        <v>805</v>
      </c>
      <c r="F4" s="2593">
        <f t="shared" si="0"/>
        <v>0</v>
      </c>
    </row>
    <row r="5" spans="1:12">
      <c r="A5" s="2591">
        <v>10100100011</v>
      </c>
      <c r="B5" s="852" t="s">
        <v>16</v>
      </c>
      <c r="C5" s="1541">
        <v>1019797.77</v>
      </c>
      <c r="D5" s="1541">
        <v>0</v>
      </c>
      <c r="E5" s="2593">
        <f t="shared" si="0"/>
        <v>1020</v>
      </c>
      <c r="F5" s="2593">
        <f t="shared" si="0"/>
        <v>0</v>
      </c>
    </row>
    <row r="6" spans="1:12">
      <c r="A6" s="2591">
        <v>10100100014</v>
      </c>
      <c r="B6" s="852" t="s">
        <v>18</v>
      </c>
      <c r="C6" s="1541">
        <v>12059784.529999999</v>
      </c>
      <c r="D6" s="1541">
        <v>0</v>
      </c>
      <c r="E6" s="2593">
        <f t="shared" si="0"/>
        <v>12060</v>
      </c>
      <c r="F6" s="2593">
        <f t="shared" si="0"/>
        <v>0</v>
      </c>
    </row>
    <row r="7" spans="1:12">
      <c r="A7" s="2591">
        <v>10100100015</v>
      </c>
      <c r="B7" s="852" t="s">
        <v>20</v>
      </c>
      <c r="C7" s="1541">
        <v>2297696.7200000002</v>
      </c>
      <c r="D7" s="1541">
        <v>0</v>
      </c>
      <c r="E7" s="2593">
        <f t="shared" si="0"/>
        <v>2298</v>
      </c>
      <c r="F7" s="2593">
        <f t="shared" si="0"/>
        <v>0</v>
      </c>
    </row>
    <row r="8" spans="1:12">
      <c r="A8" s="2591">
        <v>10100100017</v>
      </c>
      <c r="B8" s="852" t="s">
        <v>22</v>
      </c>
      <c r="C8" s="1541">
        <v>447222.45</v>
      </c>
      <c r="D8" s="1541">
        <v>0</v>
      </c>
      <c r="E8" s="2593">
        <f t="shared" si="0"/>
        <v>447</v>
      </c>
      <c r="F8" s="2593">
        <f t="shared" si="0"/>
        <v>0</v>
      </c>
      <c r="H8" s="2830">
        <f>E8/1000</f>
        <v>0.44700000000000001</v>
      </c>
    </row>
    <row r="9" spans="1:12">
      <c r="A9" s="2591">
        <v>10100100021</v>
      </c>
      <c r="B9" s="852" t="s">
        <v>24</v>
      </c>
      <c r="C9" s="1541">
        <v>11220.56</v>
      </c>
      <c r="D9" s="1541">
        <v>0</v>
      </c>
      <c r="E9" s="2593">
        <f t="shared" si="0"/>
        <v>11</v>
      </c>
      <c r="F9" s="2593">
        <f t="shared" si="0"/>
        <v>0</v>
      </c>
      <c r="I9" s="2262">
        <f>C9/1000</f>
        <v>11.220559999999999</v>
      </c>
    </row>
    <row r="10" spans="1:12">
      <c r="A10" s="2591">
        <v>10100100040</v>
      </c>
      <c r="B10" s="852" t="s">
        <v>28</v>
      </c>
      <c r="C10" s="1541">
        <v>2393.1799999999998</v>
      </c>
      <c r="D10" s="1541">
        <v>0</v>
      </c>
      <c r="E10" s="2593">
        <f t="shared" si="0"/>
        <v>2</v>
      </c>
      <c r="F10" s="2593">
        <f t="shared" si="0"/>
        <v>0</v>
      </c>
    </row>
    <row r="11" spans="1:12">
      <c r="A11" s="2591">
        <v>10100100054</v>
      </c>
      <c r="B11" s="852" t="s">
        <v>30</v>
      </c>
      <c r="C11" s="1541">
        <v>10310068.9</v>
      </c>
      <c r="D11" s="1541">
        <v>0</v>
      </c>
      <c r="E11" s="2593">
        <f t="shared" si="0"/>
        <v>10310</v>
      </c>
      <c r="F11" s="2593">
        <f t="shared" si="0"/>
        <v>0</v>
      </c>
    </row>
    <row r="12" spans="1:12">
      <c r="A12" s="2591">
        <v>10100100069</v>
      </c>
      <c r="B12" s="852" t="s">
        <v>32</v>
      </c>
      <c r="C12" s="1541">
        <v>3690.9</v>
      </c>
      <c r="D12" s="1541">
        <v>0</v>
      </c>
      <c r="E12" s="2593">
        <f t="shared" si="0"/>
        <v>4</v>
      </c>
      <c r="F12" s="2593">
        <f t="shared" si="0"/>
        <v>0</v>
      </c>
      <c r="H12" s="2808">
        <f>E8+E9+E11</f>
        <v>10768</v>
      </c>
    </row>
    <row r="13" spans="1:12">
      <c r="A13" s="2591">
        <v>10100100072</v>
      </c>
      <c r="B13" s="852" t="s">
        <v>34</v>
      </c>
      <c r="C13" s="1541">
        <v>18401.439999999999</v>
      </c>
      <c r="D13" s="1541">
        <v>0</v>
      </c>
      <c r="E13" s="2593">
        <f t="shared" si="0"/>
        <v>18</v>
      </c>
      <c r="F13" s="2593">
        <f t="shared" si="0"/>
        <v>0</v>
      </c>
    </row>
    <row r="14" spans="1:12">
      <c r="A14" s="2591">
        <v>10100100075</v>
      </c>
      <c r="B14" s="852" t="s">
        <v>36</v>
      </c>
      <c r="C14" s="1541">
        <v>9942.9699999999993</v>
      </c>
      <c r="D14" s="1541">
        <v>0</v>
      </c>
      <c r="E14" s="2593">
        <f t="shared" si="0"/>
        <v>10</v>
      </c>
      <c r="F14" s="2593">
        <f t="shared" si="0"/>
        <v>0</v>
      </c>
      <c r="H14" s="2802">
        <f>SUM(E3:E26)</f>
        <v>368828</v>
      </c>
      <c r="K14" s="2263" t="s">
        <v>2144</v>
      </c>
      <c r="L14" s="2263">
        <f>E11</f>
        <v>10310</v>
      </c>
    </row>
    <row r="15" spans="1:12">
      <c r="A15" s="2591">
        <v>10100100077</v>
      </c>
      <c r="B15" s="852" t="s">
        <v>38</v>
      </c>
      <c r="C15" s="1541">
        <v>2378.4900000000002</v>
      </c>
      <c r="D15" s="1541">
        <v>0</v>
      </c>
      <c r="E15" s="2593">
        <f t="shared" si="0"/>
        <v>2</v>
      </c>
      <c r="F15" s="2593">
        <f t="shared" si="0"/>
        <v>0</v>
      </c>
      <c r="H15" s="2802">
        <f>E11+E26</f>
        <v>10319</v>
      </c>
      <c r="K15" s="2263" t="s">
        <v>2145</v>
      </c>
      <c r="L15" s="2423">
        <f>SUM(E3:E26)-F14-F24-L14</f>
        <v>358518</v>
      </c>
    </row>
    <row r="16" spans="1:12">
      <c r="A16" s="2591">
        <v>10100100078</v>
      </c>
      <c r="B16" s="852" t="s">
        <v>40</v>
      </c>
      <c r="C16" s="1541">
        <v>5445.42</v>
      </c>
      <c r="D16" s="1541">
        <v>0</v>
      </c>
      <c r="E16" s="2593">
        <f t="shared" si="0"/>
        <v>5</v>
      </c>
      <c r="F16" s="2593">
        <f t="shared" si="0"/>
        <v>0</v>
      </c>
      <c r="L16" s="2423"/>
    </row>
    <row r="17" spans="1:12">
      <c r="A17" s="2591">
        <v>10100100079</v>
      </c>
      <c r="B17" s="852" t="s">
        <v>42</v>
      </c>
      <c r="C17" s="1541">
        <v>89692539.650000006</v>
      </c>
      <c r="D17" s="1541">
        <v>0</v>
      </c>
      <c r="E17" s="2593">
        <f t="shared" si="0"/>
        <v>89693</v>
      </c>
      <c r="F17" s="2593">
        <f t="shared" si="0"/>
        <v>0</v>
      </c>
      <c r="K17" s="2265">
        <f>SUM(C3:C25)</f>
        <v>368818043.23000002</v>
      </c>
      <c r="L17" s="2262">
        <f>ROUND(K17/1000,0)</f>
        <v>368818</v>
      </c>
    </row>
    <row r="18" spans="1:12">
      <c r="A18" s="2591">
        <v>10100100080</v>
      </c>
      <c r="B18" s="852" t="s">
        <v>44</v>
      </c>
      <c r="C18" s="1541">
        <v>11647.050000000001</v>
      </c>
      <c r="D18" s="1541">
        <v>0</v>
      </c>
      <c r="E18" s="2593">
        <f t="shared" si="0"/>
        <v>12</v>
      </c>
      <c r="F18" s="2593">
        <f t="shared" si="0"/>
        <v>0</v>
      </c>
    </row>
    <row r="19" spans="1:12">
      <c r="A19" s="2591">
        <v>10100100082</v>
      </c>
      <c r="B19" s="852" t="s">
        <v>46</v>
      </c>
      <c r="C19" s="1541">
        <v>10622.57</v>
      </c>
      <c r="D19" s="1541">
        <v>0</v>
      </c>
      <c r="E19" s="2593">
        <f t="shared" ref="E19:F83" si="1">ROUND(C19/1000,0)</f>
        <v>11</v>
      </c>
      <c r="F19" s="2593">
        <f t="shared" si="1"/>
        <v>0</v>
      </c>
    </row>
    <row r="20" spans="1:12">
      <c r="A20" s="2591">
        <v>10100100085</v>
      </c>
      <c r="B20" s="852" t="s">
        <v>2460</v>
      </c>
      <c r="C20" s="1541">
        <v>8869</v>
      </c>
      <c r="D20" s="1541">
        <v>0</v>
      </c>
      <c r="E20" s="2593">
        <f t="shared" si="1"/>
        <v>9</v>
      </c>
      <c r="F20" s="2593">
        <f t="shared" si="1"/>
        <v>0</v>
      </c>
    </row>
    <row r="21" spans="1:12">
      <c r="A21" s="2591">
        <v>10100100087</v>
      </c>
      <c r="B21" s="852" t="s">
        <v>50</v>
      </c>
      <c r="C21" s="1541">
        <v>3855.57</v>
      </c>
      <c r="D21" s="1541">
        <v>0</v>
      </c>
      <c r="E21" s="2593">
        <f t="shared" si="1"/>
        <v>4</v>
      </c>
      <c r="F21" s="2593">
        <f t="shared" si="1"/>
        <v>0</v>
      </c>
    </row>
    <row r="22" spans="1:12">
      <c r="A22" s="2591">
        <v>10100100093</v>
      </c>
      <c r="B22" s="852" t="s">
        <v>1539</v>
      </c>
      <c r="C22" s="1541">
        <v>864866.75</v>
      </c>
      <c r="D22" s="1541">
        <v>0</v>
      </c>
      <c r="E22" s="2593">
        <f t="shared" si="1"/>
        <v>865</v>
      </c>
      <c r="F22" s="2593">
        <f t="shared" si="1"/>
        <v>0</v>
      </c>
    </row>
    <row r="23" spans="1:12">
      <c r="A23" s="2591">
        <v>10100100100</v>
      </c>
      <c r="B23" s="852" t="s">
        <v>1542</v>
      </c>
      <c r="C23" s="1541">
        <v>1144082.0900000001</v>
      </c>
      <c r="D23" s="1541">
        <v>0</v>
      </c>
      <c r="E23" s="2593">
        <f t="shared" si="1"/>
        <v>1144</v>
      </c>
      <c r="F23" s="2593">
        <f t="shared" si="1"/>
        <v>0</v>
      </c>
    </row>
    <row r="24" spans="1:12">
      <c r="A24" s="2591">
        <v>10100100103</v>
      </c>
      <c r="B24" s="852" t="s">
        <v>1545</v>
      </c>
      <c r="C24" s="1541">
        <v>920.13</v>
      </c>
      <c r="D24" s="1541">
        <v>0</v>
      </c>
      <c r="E24" s="2593">
        <f t="shared" si="1"/>
        <v>1</v>
      </c>
      <c r="F24" s="2593">
        <f t="shared" si="1"/>
        <v>0</v>
      </c>
      <c r="K24" s="2262">
        <f>ROUND(C24/1000,0)</f>
        <v>1</v>
      </c>
    </row>
    <row r="25" spans="1:12">
      <c r="A25" s="2591">
        <v>10100100114</v>
      </c>
      <c r="B25" s="852" t="s">
        <v>2251</v>
      </c>
      <c r="C25" s="1541">
        <v>52795.360000000001</v>
      </c>
      <c r="D25" s="1541">
        <v>0</v>
      </c>
      <c r="E25" s="2593">
        <f t="shared" si="1"/>
        <v>53</v>
      </c>
      <c r="F25" s="2593">
        <f t="shared" si="1"/>
        <v>0</v>
      </c>
      <c r="K25" s="2262"/>
    </row>
    <row r="26" spans="1:12">
      <c r="A26" s="2591">
        <v>10100100122</v>
      </c>
      <c r="B26" s="852" t="s">
        <v>2461</v>
      </c>
      <c r="C26" s="1541">
        <v>9140</v>
      </c>
      <c r="D26" s="1541">
        <v>0</v>
      </c>
      <c r="E26" s="2593">
        <f t="shared" si="1"/>
        <v>9</v>
      </c>
      <c r="F26" s="2593">
        <f t="shared" si="1"/>
        <v>0</v>
      </c>
    </row>
    <row r="27" spans="1:12">
      <c r="A27" s="2591">
        <v>10200100001</v>
      </c>
      <c r="B27" s="852" t="s">
        <v>65</v>
      </c>
      <c r="C27" s="1541">
        <v>0</v>
      </c>
      <c r="D27" s="1541">
        <v>82.36</v>
      </c>
      <c r="E27" s="2593">
        <f t="shared" si="1"/>
        <v>0</v>
      </c>
      <c r="F27" s="2593">
        <f t="shared" si="1"/>
        <v>0</v>
      </c>
    </row>
    <row r="28" spans="1:12">
      <c r="A28" s="2591">
        <v>10300100001</v>
      </c>
      <c r="B28" s="852" t="s">
        <v>119</v>
      </c>
      <c r="C28" s="1541">
        <v>358777136.63</v>
      </c>
      <c r="D28" s="1541">
        <v>0</v>
      </c>
      <c r="E28" s="2593">
        <f t="shared" si="1"/>
        <v>358777</v>
      </c>
      <c r="F28" s="2593">
        <f t="shared" si="1"/>
        <v>0</v>
      </c>
    </row>
    <row r="29" spans="1:12">
      <c r="A29" s="2591">
        <v>10300100002</v>
      </c>
      <c r="B29" s="852" t="s">
        <v>121</v>
      </c>
      <c r="C29" s="1541">
        <v>0</v>
      </c>
      <c r="D29" s="1541">
        <v>19377479.199999999</v>
      </c>
      <c r="E29" s="2593">
        <f t="shared" si="1"/>
        <v>0</v>
      </c>
      <c r="F29" s="2593">
        <f t="shared" si="1"/>
        <v>19377</v>
      </c>
    </row>
    <row r="30" spans="1:12">
      <c r="A30" s="2591">
        <v>10300300001</v>
      </c>
      <c r="B30" s="852" t="s">
        <v>94</v>
      </c>
      <c r="C30" s="1541">
        <v>35000000</v>
      </c>
      <c r="D30" s="1541">
        <v>0</v>
      </c>
      <c r="E30" s="2593">
        <f t="shared" si="1"/>
        <v>35000</v>
      </c>
      <c r="F30" s="2593">
        <f t="shared" si="1"/>
        <v>0</v>
      </c>
    </row>
    <row r="31" spans="1:12">
      <c r="A31" s="2591">
        <v>10300300002</v>
      </c>
      <c r="B31" s="852" t="s">
        <v>96</v>
      </c>
      <c r="C31" s="1541">
        <v>0</v>
      </c>
      <c r="D31" s="1541">
        <v>1418</v>
      </c>
      <c r="E31" s="2593">
        <f t="shared" si="1"/>
        <v>0</v>
      </c>
      <c r="F31" s="2593">
        <f t="shared" si="1"/>
        <v>1</v>
      </c>
    </row>
    <row r="32" spans="1:12">
      <c r="A32" s="2591">
        <v>10300300003</v>
      </c>
      <c r="B32" s="852" t="s">
        <v>98</v>
      </c>
      <c r="C32" s="1541">
        <v>0</v>
      </c>
      <c r="D32" s="1541">
        <v>140155.47</v>
      </c>
      <c r="E32" s="2593">
        <f t="shared" si="1"/>
        <v>0</v>
      </c>
      <c r="F32" s="2593">
        <f t="shared" si="1"/>
        <v>140</v>
      </c>
    </row>
    <row r="33" spans="1:12">
      <c r="A33" s="2591">
        <v>10300400002</v>
      </c>
      <c r="B33" s="852" t="s">
        <v>102</v>
      </c>
      <c r="C33" s="1541">
        <v>2742530.75</v>
      </c>
      <c r="D33" s="1541">
        <v>0</v>
      </c>
      <c r="E33" s="2593">
        <f t="shared" si="1"/>
        <v>2743</v>
      </c>
      <c r="F33" s="2593">
        <f t="shared" si="1"/>
        <v>0</v>
      </c>
    </row>
    <row r="34" spans="1:12">
      <c r="A34" s="2591">
        <v>10300400003</v>
      </c>
      <c r="B34" s="852" t="s">
        <v>104</v>
      </c>
      <c r="C34" s="1541">
        <v>0</v>
      </c>
      <c r="D34" s="1541">
        <v>2742531.08</v>
      </c>
      <c r="E34" s="2593">
        <f t="shared" si="1"/>
        <v>0</v>
      </c>
      <c r="F34" s="2593">
        <f t="shared" si="1"/>
        <v>2743</v>
      </c>
    </row>
    <row r="35" spans="1:12">
      <c r="A35" s="2591">
        <v>10300500002</v>
      </c>
      <c r="B35" s="852" t="s">
        <v>2462</v>
      </c>
      <c r="C35" s="1541">
        <v>0.02</v>
      </c>
      <c r="D35" s="1541">
        <v>0</v>
      </c>
      <c r="E35" s="2593">
        <f t="shared" si="1"/>
        <v>0</v>
      </c>
      <c r="F35" s="2593">
        <f t="shared" si="1"/>
        <v>0</v>
      </c>
    </row>
    <row r="36" spans="1:12">
      <c r="A36" s="2591">
        <v>10300500003</v>
      </c>
      <c r="B36" s="852" t="s">
        <v>2463</v>
      </c>
      <c r="C36" s="1541">
        <v>12.94</v>
      </c>
      <c r="D36" s="1541">
        <v>0</v>
      </c>
      <c r="E36" s="2593">
        <f t="shared" si="1"/>
        <v>0</v>
      </c>
      <c r="F36" s="2593">
        <f t="shared" si="1"/>
        <v>0</v>
      </c>
      <c r="I36" s="2262">
        <f>C35+C38-D36-D37</f>
        <v>0.02</v>
      </c>
      <c r="K36" s="2265">
        <f>C38-(D36+D37)</f>
        <v>0</v>
      </c>
      <c r="L36" s="2263">
        <f>ROUND((C35+K36)/1000,0)</f>
        <v>0</v>
      </c>
    </row>
    <row r="37" spans="1:12">
      <c r="A37" s="2591">
        <v>10300900001</v>
      </c>
      <c r="B37" s="852" t="s">
        <v>70</v>
      </c>
      <c r="C37" s="1541">
        <v>154142921.88999999</v>
      </c>
      <c r="D37" s="1541">
        <v>0</v>
      </c>
      <c r="E37" s="2593">
        <f t="shared" si="1"/>
        <v>154143</v>
      </c>
      <c r="F37" s="2593">
        <f t="shared" si="1"/>
        <v>0</v>
      </c>
      <c r="H37" s="2808">
        <f>E37-F38+E39+E40</f>
        <v>155500</v>
      </c>
      <c r="I37" s="2359">
        <f>I36/1000000</f>
        <v>2E-8</v>
      </c>
    </row>
    <row r="38" spans="1:12">
      <c r="A38" s="2591">
        <v>10300900002</v>
      </c>
      <c r="B38" s="852" t="s">
        <v>72</v>
      </c>
      <c r="C38" s="1541">
        <v>0</v>
      </c>
      <c r="D38" s="1541">
        <v>3312877.49</v>
      </c>
      <c r="E38" s="2593">
        <f t="shared" si="1"/>
        <v>0</v>
      </c>
      <c r="F38" s="2593">
        <f t="shared" si="1"/>
        <v>3313</v>
      </c>
    </row>
    <row r="39" spans="1:12">
      <c r="A39" s="2591">
        <v>10300900003</v>
      </c>
      <c r="B39" s="852" t="s">
        <v>74</v>
      </c>
      <c r="C39" s="1541">
        <v>2328851.08</v>
      </c>
      <c r="D39" s="1541">
        <v>0</v>
      </c>
      <c r="E39" s="2593">
        <f t="shared" si="1"/>
        <v>2329</v>
      </c>
      <c r="F39" s="2593">
        <f t="shared" si="1"/>
        <v>0</v>
      </c>
      <c r="L39" s="2266"/>
    </row>
    <row r="40" spans="1:12">
      <c r="A40" s="2591">
        <v>10300900009</v>
      </c>
      <c r="B40" s="852" t="s">
        <v>76</v>
      </c>
      <c r="C40" s="1541">
        <v>2340591.9300000002</v>
      </c>
      <c r="D40" s="1541">
        <v>0</v>
      </c>
      <c r="E40" s="2593">
        <f t="shared" si="1"/>
        <v>2341</v>
      </c>
      <c r="F40" s="2593">
        <f t="shared" si="1"/>
        <v>0</v>
      </c>
      <c r="L40" s="2266"/>
    </row>
    <row r="41" spans="1:12">
      <c r="A41" s="2591">
        <v>10302900001</v>
      </c>
      <c r="B41" s="852" t="s">
        <v>136</v>
      </c>
      <c r="C41" s="1541">
        <v>5584532.5</v>
      </c>
      <c r="D41" s="1541">
        <v>0</v>
      </c>
      <c r="E41" s="2593">
        <f t="shared" si="1"/>
        <v>5585</v>
      </c>
      <c r="F41" s="2593">
        <f t="shared" si="1"/>
        <v>0</v>
      </c>
      <c r="L41" s="2266"/>
    </row>
    <row r="42" spans="1:12">
      <c r="A42" s="2591">
        <v>10303600000</v>
      </c>
      <c r="B42" s="852" t="s">
        <v>2287</v>
      </c>
      <c r="C42" s="1541">
        <v>0.02</v>
      </c>
      <c r="D42" s="1541">
        <v>0</v>
      </c>
      <c r="E42" s="2593">
        <f t="shared" si="1"/>
        <v>0</v>
      </c>
      <c r="F42" s="2593">
        <f t="shared" si="1"/>
        <v>0</v>
      </c>
      <c r="L42" s="2266"/>
    </row>
    <row r="43" spans="1:12">
      <c r="A43" s="2591">
        <v>10303600003</v>
      </c>
      <c r="B43" s="852" t="s">
        <v>2289</v>
      </c>
      <c r="C43" s="1541">
        <v>0</v>
      </c>
      <c r="D43" s="1541">
        <v>0.01</v>
      </c>
      <c r="E43" s="2593">
        <f t="shared" si="1"/>
        <v>0</v>
      </c>
      <c r="F43" s="2593">
        <f t="shared" si="1"/>
        <v>0</v>
      </c>
    </row>
    <row r="44" spans="1:12">
      <c r="A44" s="2591">
        <v>10500100001</v>
      </c>
      <c r="B44" s="852" t="s">
        <v>55</v>
      </c>
      <c r="C44" s="1541">
        <v>0</v>
      </c>
      <c r="D44" s="1541">
        <v>2.2200000000000002</v>
      </c>
      <c r="E44" s="2593">
        <f t="shared" si="1"/>
        <v>0</v>
      </c>
      <c r="F44" s="2593">
        <f t="shared" si="1"/>
        <v>0</v>
      </c>
    </row>
    <row r="45" spans="1:12">
      <c r="A45" s="2591">
        <v>10500200001</v>
      </c>
      <c r="B45" s="852" t="s">
        <v>57</v>
      </c>
      <c r="C45" s="1541">
        <v>0.70000000000000007</v>
      </c>
      <c r="D45" s="1541">
        <v>0</v>
      </c>
      <c r="E45" s="2593">
        <f t="shared" si="1"/>
        <v>0</v>
      </c>
      <c r="F45" s="2593">
        <f t="shared" si="1"/>
        <v>0</v>
      </c>
    </row>
    <row r="46" spans="1:12">
      <c r="A46" s="2591">
        <v>10600100001</v>
      </c>
      <c r="B46" s="852" t="s">
        <v>78</v>
      </c>
      <c r="C46" s="1541">
        <v>85162266.230000004</v>
      </c>
      <c r="D46" s="1541">
        <v>0</v>
      </c>
      <c r="E46" s="2593">
        <f t="shared" si="1"/>
        <v>85162</v>
      </c>
      <c r="F46" s="2593">
        <f t="shared" si="1"/>
        <v>0</v>
      </c>
    </row>
    <row r="47" spans="1:12">
      <c r="A47" s="2591">
        <v>10600200001</v>
      </c>
      <c r="B47" s="852" t="s">
        <v>177</v>
      </c>
      <c r="C47" s="1541">
        <v>34685081</v>
      </c>
      <c r="D47" s="1541">
        <v>0</v>
      </c>
      <c r="E47" s="2593">
        <f t="shared" si="1"/>
        <v>34685</v>
      </c>
      <c r="F47" s="2593">
        <f t="shared" si="1"/>
        <v>0</v>
      </c>
    </row>
    <row r="48" spans="1:12">
      <c r="A48" s="2591">
        <v>10600300006</v>
      </c>
      <c r="B48" s="852" t="s">
        <v>80</v>
      </c>
      <c r="C48" s="1541">
        <v>0</v>
      </c>
      <c r="D48" s="1541">
        <v>74910000</v>
      </c>
      <c r="E48" s="2593">
        <f t="shared" si="1"/>
        <v>0</v>
      </c>
      <c r="F48" s="2593">
        <f t="shared" si="1"/>
        <v>74910</v>
      </c>
    </row>
    <row r="49" spans="1:12">
      <c r="A49" s="2591">
        <v>10600300007</v>
      </c>
      <c r="B49" s="852" t="s">
        <v>82</v>
      </c>
      <c r="C49" s="1541">
        <v>0</v>
      </c>
      <c r="D49" s="1541">
        <v>10252266</v>
      </c>
      <c r="E49" s="2593">
        <f t="shared" si="1"/>
        <v>0</v>
      </c>
      <c r="F49" s="2593">
        <f t="shared" si="1"/>
        <v>10252</v>
      </c>
      <c r="H49" s="2809">
        <f>SUM(E52:E73)+E88-F88-F72+E74+E89+E90</f>
        <v>14671</v>
      </c>
    </row>
    <row r="50" spans="1:12">
      <c r="A50" s="2591">
        <v>10600300008</v>
      </c>
      <c r="B50" s="852" t="s">
        <v>84</v>
      </c>
      <c r="C50" s="1541">
        <v>0</v>
      </c>
      <c r="D50" s="1541">
        <v>0.23</v>
      </c>
      <c r="E50" s="2593">
        <f t="shared" si="1"/>
        <v>0</v>
      </c>
      <c r="F50" s="2593">
        <f t="shared" si="1"/>
        <v>0</v>
      </c>
    </row>
    <row r="51" spans="1:12">
      <c r="A51" s="2591">
        <v>10600400001</v>
      </c>
      <c r="B51" s="852" t="s">
        <v>179</v>
      </c>
      <c r="C51" s="1541">
        <v>0</v>
      </c>
      <c r="D51" s="1541">
        <v>34685081</v>
      </c>
      <c r="E51" s="2593">
        <f t="shared" si="1"/>
        <v>0</v>
      </c>
      <c r="F51" s="2593">
        <f t="shared" si="1"/>
        <v>34685</v>
      </c>
    </row>
    <row r="52" spans="1:12">
      <c r="A52" s="2591">
        <v>10601100001</v>
      </c>
      <c r="B52" s="852" t="s">
        <v>146</v>
      </c>
      <c r="C52" s="1541">
        <v>883215.65</v>
      </c>
      <c r="D52" s="1541">
        <v>0</v>
      </c>
      <c r="E52" s="2593">
        <f t="shared" si="1"/>
        <v>883</v>
      </c>
      <c r="F52" s="2593">
        <f t="shared" si="1"/>
        <v>0</v>
      </c>
    </row>
    <row r="53" spans="1:12">
      <c r="A53" s="2591">
        <v>10601100005</v>
      </c>
      <c r="B53" s="852" t="s">
        <v>2464</v>
      </c>
      <c r="C53" s="1541">
        <v>980.37</v>
      </c>
      <c r="D53" s="1541">
        <v>0</v>
      </c>
      <c r="E53" s="2593">
        <f t="shared" si="1"/>
        <v>1</v>
      </c>
      <c r="F53" s="2593">
        <f t="shared" si="1"/>
        <v>0</v>
      </c>
    </row>
    <row r="54" spans="1:12">
      <c r="A54" s="2591">
        <v>10601100011</v>
      </c>
      <c r="B54" s="852" t="s">
        <v>150</v>
      </c>
      <c r="C54" s="1541">
        <v>4.7300000000000004</v>
      </c>
      <c r="D54" s="1541">
        <v>0</v>
      </c>
      <c r="E54" s="2593">
        <f t="shared" si="1"/>
        <v>0</v>
      </c>
      <c r="F54" s="2593">
        <f t="shared" si="1"/>
        <v>0</v>
      </c>
    </row>
    <row r="55" spans="1:12">
      <c r="A55" s="2591">
        <v>10601100014</v>
      </c>
      <c r="B55" s="852" t="s">
        <v>152</v>
      </c>
      <c r="C55" s="1541">
        <v>116638.8</v>
      </c>
      <c r="D55" s="1541">
        <v>0</v>
      </c>
      <c r="E55" s="2593">
        <f t="shared" si="1"/>
        <v>117</v>
      </c>
      <c r="F55" s="2593">
        <f t="shared" si="1"/>
        <v>0</v>
      </c>
    </row>
    <row r="56" spans="1:12">
      <c r="A56" s="2591">
        <v>10601100015</v>
      </c>
      <c r="B56" s="852" t="s">
        <v>154</v>
      </c>
      <c r="C56" s="1541">
        <v>2361.69</v>
      </c>
      <c r="D56" s="1541">
        <v>0</v>
      </c>
      <c r="E56" s="2593">
        <f t="shared" si="1"/>
        <v>2</v>
      </c>
      <c r="F56" s="2593">
        <f t="shared" si="1"/>
        <v>0</v>
      </c>
    </row>
    <row r="57" spans="1:12">
      <c r="A57" s="2591">
        <v>10601100017</v>
      </c>
      <c r="B57" s="852" t="s">
        <v>156</v>
      </c>
      <c r="C57" s="1541">
        <v>2.8000000000000003</v>
      </c>
      <c r="D57" s="1541">
        <v>0</v>
      </c>
      <c r="E57" s="2593">
        <f t="shared" si="1"/>
        <v>0</v>
      </c>
      <c r="F57" s="2593">
        <f t="shared" si="1"/>
        <v>0</v>
      </c>
    </row>
    <row r="58" spans="1:12">
      <c r="A58" s="2591">
        <v>10601100027</v>
      </c>
      <c r="B58" s="852" t="s">
        <v>158</v>
      </c>
      <c r="C58" s="1541">
        <v>2.2600000000000002</v>
      </c>
      <c r="D58" s="1541">
        <v>0</v>
      </c>
      <c r="E58" s="2593">
        <f t="shared" si="1"/>
        <v>0</v>
      </c>
      <c r="F58" s="2593">
        <f t="shared" si="1"/>
        <v>0</v>
      </c>
    </row>
    <row r="59" spans="1:12">
      <c r="A59" s="2591">
        <v>10601100072</v>
      </c>
      <c r="B59" s="852" t="s">
        <v>160</v>
      </c>
      <c r="C59" s="1541">
        <v>8.8800000000000008</v>
      </c>
      <c r="D59" s="1541">
        <v>0</v>
      </c>
      <c r="E59" s="2593">
        <f t="shared" si="1"/>
        <v>0</v>
      </c>
      <c r="F59" s="2593">
        <f t="shared" si="1"/>
        <v>0</v>
      </c>
    </row>
    <row r="60" spans="1:12">
      <c r="A60" s="2591">
        <v>10601100075</v>
      </c>
      <c r="B60" s="852" t="s">
        <v>168</v>
      </c>
      <c r="C60" s="1541">
        <v>2.75</v>
      </c>
      <c r="D60" s="1541">
        <v>0</v>
      </c>
      <c r="E60" s="2593">
        <f t="shared" si="1"/>
        <v>0</v>
      </c>
      <c r="F60" s="2593">
        <f t="shared" si="1"/>
        <v>0</v>
      </c>
    </row>
    <row r="61" spans="1:12">
      <c r="A61" s="2591">
        <v>10601100077</v>
      </c>
      <c r="B61" s="852" t="s">
        <v>162</v>
      </c>
      <c r="C61" s="1541">
        <v>12.39</v>
      </c>
      <c r="D61" s="1541">
        <v>0</v>
      </c>
      <c r="E61" s="2593">
        <f t="shared" si="1"/>
        <v>0</v>
      </c>
      <c r="F61" s="2593">
        <f t="shared" si="1"/>
        <v>0</v>
      </c>
      <c r="K61" s="2424">
        <f>ROUND(SUM(C50:C67)/1000,0)</f>
        <v>1606</v>
      </c>
      <c r="L61" s="2424">
        <f>K61+H68</f>
        <v>4830</v>
      </c>
    </row>
    <row r="62" spans="1:12">
      <c r="A62" s="2591">
        <v>10601100079</v>
      </c>
      <c r="B62" s="852" t="s">
        <v>164</v>
      </c>
      <c r="C62" s="1541">
        <v>600265.78</v>
      </c>
      <c r="D62" s="1541">
        <v>0</v>
      </c>
      <c r="E62" s="2593">
        <f t="shared" si="1"/>
        <v>600</v>
      </c>
      <c r="F62" s="2593">
        <f t="shared" si="1"/>
        <v>0</v>
      </c>
    </row>
    <row r="63" spans="1:12">
      <c r="A63" s="2591">
        <v>10601100080</v>
      </c>
      <c r="B63" s="852" t="s">
        <v>166</v>
      </c>
      <c r="C63" s="1541">
        <v>1.9000000000000001</v>
      </c>
      <c r="D63" s="1541">
        <v>0</v>
      </c>
      <c r="E63" s="2593">
        <f t="shared" si="1"/>
        <v>0</v>
      </c>
      <c r="F63" s="2593">
        <f t="shared" si="1"/>
        <v>0</v>
      </c>
    </row>
    <row r="64" spans="1:12">
      <c r="A64" s="2591">
        <v>10601100082</v>
      </c>
      <c r="B64" s="852" t="s">
        <v>1548</v>
      </c>
      <c r="C64" s="1541">
        <v>0</v>
      </c>
      <c r="D64" s="1541">
        <v>0.27</v>
      </c>
      <c r="E64" s="2593">
        <f t="shared" si="1"/>
        <v>0</v>
      </c>
      <c r="F64" s="2593">
        <f t="shared" si="1"/>
        <v>0</v>
      </c>
    </row>
    <row r="65" spans="1:15">
      <c r="A65" s="2591">
        <v>10601100089</v>
      </c>
      <c r="B65" s="852" t="s">
        <v>2291</v>
      </c>
      <c r="C65" s="1541">
        <v>2.25</v>
      </c>
      <c r="D65" s="1541">
        <v>0</v>
      </c>
      <c r="E65" s="2593">
        <f t="shared" si="1"/>
        <v>0</v>
      </c>
      <c r="F65" s="2593">
        <f t="shared" si="1"/>
        <v>0</v>
      </c>
    </row>
    <row r="66" spans="1:15">
      <c r="A66" s="2591">
        <v>10601100092</v>
      </c>
      <c r="B66" s="852" t="s">
        <v>1551</v>
      </c>
      <c r="C66" s="1541">
        <v>2590.71</v>
      </c>
      <c r="D66" s="1541">
        <v>0</v>
      </c>
      <c r="E66" s="2593">
        <f t="shared" si="1"/>
        <v>3</v>
      </c>
      <c r="F66" s="2593">
        <f t="shared" si="1"/>
        <v>0</v>
      </c>
    </row>
    <row r="67" spans="1:15">
      <c r="A67" s="2591">
        <v>10601100098</v>
      </c>
      <c r="B67" s="852" t="s">
        <v>1554</v>
      </c>
      <c r="C67" s="1541">
        <v>7.79</v>
      </c>
      <c r="D67" s="1541">
        <v>0</v>
      </c>
      <c r="E67" s="2593">
        <f t="shared" si="1"/>
        <v>0</v>
      </c>
      <c r="F67" s="2593">
        <f t="shared" si="1"/>
        <v>0</v>
      </c>
    </row>
    <row r="68" spans="1:15">
      <c r="A68" s="2591">
        <v>10601100110</v>
      </c>
      <c r="B68" s="852" t="s">
        <v>2293</v>
      </c>
      <c r="C68" s="1541">
        <v>214355.98</v>
      </c>
      <c r="D68" s="1541">
        <v>0</v>
      </c>
      <c r="E68" s="2593">
        <f t="shared" si="1"/>
        <v>214</v>
      </c>
      <c r="F68" s="2593">
        <f t="shared" si="1"/>
        <v>0</v>
      </c>
      <c r="H68" s="2809">
        <f>E77+E79+E80+E81+E82+E83+E84+E85-F84+E87-F86-3</f>
        <v>3224</v>
      </c>
    </row>
    <row r="69" spans="1:15">
      <c r="A69" s="2591">
        <v>1060110075</v>
      </c>
      <c r="B69" s="852" t="s">
        <v>168</v>
      </c>
      <c r="C69" s="1541">
        <v>8.58</v>
      </c>
      <c r="D69" s="1541">
        <v>0</v>
      </c>
      <c r="E69" s="2593">
        <f t="shared" si="1"/>
        <v>0</v>
      </c>
      <c r="F69" s="2593">
        <f t="shared" si="1"/>
        <v>0</v>
      </c>
      <c r="K69" s="2424"/>
    </row>
    <row r="70" spans="1:15">
      <c r="A70" s="2591">
        <v>10601200001</v>
      </c>
      <c r="B70" s="852" t="s">
        <v>181</v>
      </c>
      <c r="C70" s="1541">
        <v>2390812.9</v>
      </c>
      <c r="D70" s="1541">
        <v>0</v>
      </c>
      <c r="E70" s="2593">
        <f t="shared" si="1"/>
        <v>2391</v>
      </c>
      <c r="F70" s="2593">
        <f t="shared" si="1"/>
        <v>0</v>
      </c>
      <c r="K70" s="2424"/>
    </row>
    <row r="71" spans="1:15">
      <c r="A71" s="2591">
        <v>10601300001</v>
      </c>
      <c r="B71" s="852" t="s">
        <v>170</v>
      </c>
      <c r="C71" s="1541">
        <v>12206</v>
      </c>
      <c r="D71" s="1541">
        <v>0</v>
      </c>
      <c r="E71" s="2593">
        <f t="shared" si="1"/>
        <v>12</v>
      </c>
      <c r="F71" s="2593">
        <f t="shared" si="1"/>
        <v>0</v>
      </c>
      <c r="K71" s="2424"/>
    </row>
    <row r="72" spans="1:15">
      <c r="A72" s="2591">
        <v>10601600001</v>
      </c>
      <c r="B72" s="852" t="s">
        <v>187</v>
      </c>
      <c r="C72" s="1541">
        <v>0</v>
      </c>
      <c r="D72" s="1541">
        <v>0.66</v>
      </c>
      <c r="E72" s="2593">
        <f t="shared" si="1"/>
        <v>0</v>
      </c>
      <c r="F72" s="2593">
        <f t="shared" si="1"/>
        <v>0</v>
      </c>
      <c r="K72" s="2424"/>
    </row>
    <row r="73" spans="1:15">
      <c r="A73" s="2591">
        <v>10601700001</v>
      </c>
      <c r="B73" s="852" t="s">
        <v>2295</v>
      </c>
      <c r="C73" s="1541">
        <v>0.24</v>
      </c>
      <c r="D73" s="1541">
        <v>0</v>
      </c>
      <c r="E73" s="2593">
        <f t="shared" si="1"/>
        <v>0</v>
      </c>
      <c r="F73" s="2593">
        <f t="shared" si="1"/>
        <v>0</v>
      </c>
      <c r="K73" s="2424"/>
    </row>
    <row r="74" spans="1:15">
      <c r="A74" s="2591">
        <v>10602100001</v>
      </c>
      <c r="B74" s="852" t="s">
        <v>141</v>
      </c>
      <c r="C74" s="1541">
        <v>3535749.5</v>
      </c>
      <c r="D74" s="1541">
        <v>0</v>
      </c>
      <c r="E74" s="2593">
        <f t="shared" si="1"/>
        <v>3536</v>
      </c>
      <c r="F74" s="2593">
        <f t="shared" si="1"/>
        <v>0</v>
      </c>
      <c r="K74" s="2263">
        <f>E74+E75</f>
        <v>15284</v>
      </c>
    </row>
    <row r="75" spans="1:15">
      <c r="A75" s="2591">
        <v>10602200001</v>
      </c>
      <c r="B75" s="852" t="s">
        <v>244</v>
      </c>
      <c r="C75" s="1541">
        <v>11747670.66</v>
      </c>
      <c r="D75" s="1541">
        <v>0</v>
      </c>
      <c r="E75" s="2593">
        <f t="shared" si="1"/>
        <v>11748</v>
      </c>
      <c r="F75" s="2593">
        <f t="shared" si="1"/>
        <v>0</v>
      </c>
    </row>
    <row r="76" spans="1:15">
      <c r="A76" s="2591">
        <v>10602200002</v>
      </c>
      <c r="B76" s="852" t="s">
        <v>246</v>
      </c>
      <c r="C76" s="1541">
        <v>0.77</v>
      </c>
      <c r="D76" s="1541">
        <v>0</v>
      </c>
      <c r="E76" s="2593">
        <f t="shared" si="1"/>
        <v>0</v>
      </c>
      <c r="F76" s="2593">
        <f t="shared" si="1"/>
        <v>0</v>
      </c>
      <c r="K76" s="2265">
        <f>C76+C77</f>
        <v>0.77</v>
      </c>
      <c r="L76" s="2256">
        <f>ROUND(K76/1000,0)</f>
        <v>0</v>
      </c>
      <c r="O76" s="2819">
        <v>232084.11</v>
      </c>
    </row>
    <row r="77" spans="1:15">
      <c r="A77" s="2591">
        <v>10602800001</v>
      </c>
      <c r="B77" s="852" t="s">
        <v>2297</v>
      </c>
      <c r="C77" s="1541">
        <v>0</v>
      </c>
      <c r="D77" s="1541">
        <v>0.45</v>
      </c>
      <c r="E77" s="2593">
        <f t="shared" si="1"/>
        <v>0</v>
      </c>
      <c r="F77" s="2593">
        <f t="shared" si="1"/>
        <v>0</v>
      </c>
      <c r="O77" s="2819">
        <v>20519</v>
      </c>
    </row>
    <row r="78" spans="1:15">
      <c r="A78" s="2591">
        <v>10700200001</v>
      </c>
      <c r="B78" s="852" t="s">
        <v>85</v>
      </c>
      <c r="C78" s="1541">
        <v>25000000</v>
      </c>
      <c r="D78" s="1541">
        <v>0</v>
      </c>
      <c r="E78" s="2593">
        <f t="shared" si="1"/>
        <v>25000</v>
      </c>
      <c r="F78" s="2593">
        <f t="shared" si="1"/>
        <v>0</v>
      </c>
      <c r="O78" s="2819">
        <v>49977</v>
      </c>
    </row>
    <row r="79" spans="1:15">
      <c r="A79" s="2591">
        <v>10700300001</v>
      </c>
      <c r="B79" s="852" t="s">
        <v>209</v>
      </c>
      <c r="C79" s="1541">
        <v>232084.11000000002</v>
      </c>
      <c r="D79" s="1541">
        <v>0</v>
      </c>
      <c r="E79" s="2593">
        <f t="shared" si="1"/>
        <v>232</v>
      </c>
      <c r="F79" s="2593">
        <f t="shared" si="1"/>
        <v>0</v>
      </c>
      <c r="K79" s="2263">
        <f>C79+C80</f>
        <v>252603.11000000002</v>
      </c>
      <c r="L79" s="2256">
        <f>ROUND(K79/1000,0)</f>
        <v>253</v>
      </c>
      <c r="O79" s="2819">
        <f>SUM(O76:O78)</f>
        <v>302580.11</v>
      </c>
    </row>
    <row r="80" spans="1:15">
      <c r="A80" s="2591">
        <v>10700400002</v>
      </c>
      <c r="B80" s="852" t="s">
        <v>211</v>
      </c>
      <c r="C80" s="1541">
        <v>20519</v>
      </c>
      <c r="D80" s="1541">
        <v>0</v>
      </c>
      <c r="E80" s="2593">
        <f t="shared" si="1"/>
        <v>21</v>
      </c>
      <c r="F80" s="2593">
        <f t="shared" si="1"/>
        <v>0</v>
      </c>
    </row>
    <row r="81" spans="1:13">
      <c r="A81" s="2591">
        <v>10700500003</v>
      </c>
      <c r="B81" s="852" t="s">
        <v>220</v>
      </c>
      <c r="C81" s="1541">
        <v>2500000</v>
      </c>
      <c r="D81" s="1541">
        <v>0</v>
      </c>
      <c r="E81" s="2593">
        <f t="shared" si="1"/>
        <v>2500</v>
      </c>
      <c r="F81" s="2593">
        <f t="shared" si="1"/>
        <v>0</v>
      </c>
    </row>
    <row r="82" spans="1:13">
      <c r="A82" s="2591">
        <v>10700600001</v>
      </c>
      <c r="B82" s="852" t="s">
        <v>225</v>
      </c>
      <c r="C82" s="1541">
        <v>200000</v>
      </c>
      <c r="D82" s="1541">
        <v>0</v>
      </c>
      <c r="E82" s="2593">
        <f t="shared" si="1"/>
        <v>200</v>
      </c>
      <c r="F82" s="2593">
        <f t="shared" si="1"/>
        <v>0</v>
      </c>
    </row>
    <row r="83" spans="1:13">
      <c r="A83" s="2591">
        <v>10700700003</v>
      </c>
      <c r="B83" s="852" t="s">
        <v>289</v>
      </c>
      <c r="C83" s="1541">
        <v>0.84</v>
      </c>
      <c r="D83" s="1541">
        <v>0</v>
      </c>
      <c r="E83" s="2593">
        <f t="shared" si="1"/>
        <v>0</v>
      </c>
      <c r="F83" s="2593">
        <f t="shared" si="1"/>
        <v>0</v>
      </c>
      <c r="K83" s="2263">
        <f>ROUND(SUM(C81:C85)-D83-D84,0)</f>
        <v>2930423</v>
      </c>
      <c r="L83" s="2256">
        <f>ROUND(K83/1000,0)</f>
        <v>2930</v>
      </c>
      <c r="M83" s="2263" t="e">
        <f>L76+L79+L83+L86+L87</f>
        <v>#REF!</v>
      </c>
    </row>
    <row r="84" spans="1:13">
      <c r="A84" s="2591">
        <v>10700700005</v>
      </c>
      <c r="B84" s="852" t="s">
        <v>202</v>
      </c>
      <c r="C84" s="1541">
        <v>206728.7</v>
      </c>
      <c r="D84" s="1541">
        <v>0</v>
      </c>
      <c r="E84" s="2593">
        <f t="shared" ref="E84:F149" si="2">ROUND(C84/1000,0)</f>
        <v>207</v>
      </c>
      <c r="F84" s="2593">
        <f t="shared" si="2"/>
        <v>0</v>
      </c>
    </row>
    <row r="85" spans="1:13">
      <c r="A85" s="2591">
        <v>10700700008</v>
      </c>
      <c r="B85" s="852" t="s">
        <v>1903</v>
      </c>
      <c r="C85" s="1541">
        <v>23693.48</v>
      </c>
      <c r="D85" s="1541">
        <v>0</v>
      </c>
      <c r="E85" s="2593">
        <f t="shared" si="2"/>
        <v>24</v>
      </c>
      <c r="F85" s="2593">
        <f t="shared" si="2"/>
        <v>0</v>
      </c>
    </row>
    <row r="86" spans="1:13">
      <c r="A86" s="2591">
        <v>10700700009</v>
      </c>
      <c r="B86" s="852" t="s">
        <v>239</v>
      </c>
      <c r="C86" s="1541">
        <v>0</v>
      </c>
      <c r="D86" s="1541">
        <v>6804.07</v>
      </c>
      <c r="E86" s="2593">
        <f t="shared" si="2"/>
        <v>0</v>
      </c>
      <c r="F86" s="2593">
        <f t="shared" si="2"/>
        <v>7</v>
      </c>
      <c r="K86" s="2263" t="e">
        <f>(C86+#REF!)/1000</f>
        <v>#REF!</v>
      </c>
      <c r="L86" s="2256" t="e">
        <f>ROUND(K86,0)</f>
        <v>#REF!</v>
      </c>
    </row>
    <row r="87" spans="1:13">
      <c r="A87" s="2591">
        <v>1070110009</v>
      </c>
      <c r="B87" s="852" t="s">
        <v>213</v>
      </c>
      <c r="C87" s="1541">
        <v>49977</v>
      </c>
      <c r="D87" s="1541">
        <v>0</v>
      </c>
      <c r="E87" s="2593">
        <f t="shared" si="2"/>
        <v>50</v>
      </c>
      <c r="F87" s="2593">
        <f t="shared" si="2"/>
        <v>0</v>
      </c>
      <c r="K87" s="2265">
        <f>C87+C88-D87-D88</f>
        <v>51247</v>
      </c>
      <c r="L87" s="2256">
        <f>ROUND(K87/1000,0)</f>
        <v>51</v>
      </c>
    </row>
    <row r="88" spans="1:13">
      <c r="A88" s="2591">
        <v>1110090009</v>
      </c>
      <c r="B88" s="852" t="s">
        <v>197</v>
      </c>
      <c r="C88" s="1541">
        <v>1270</v>
      </c>
      <c r="D88" s="1541">
        <v>0</v>
      </c>
      <c r="E88" s="2593">
        <f t="shared" si="2"/>
        <v>1</v>
      </c>
      <c r="F88" s="2593">
        <f t="shared" si="2"/>
        <v>0</v>
      </c>
    </row>
    <row r="89" spans="1:13">
      <c r="A89" s="2591">
        <v>11500100001</v>
      </c>
      <c r="B89" s="852" t="s">
        <v>1557</v>
      </c>
      <c r="C89" s="1541">
        <v>318884.78000000003</v>
      </c>
      <c r="D89" s="1541">
        <v>0</v>
      </c>
      <c r="E89" s="2593">
        <f t="shared" si="2"/>
        <v>319</v>
      </c>
      <c r="F89" s="2593">
        <f t="shared" si="2"/>
        <v>0</v>
      </c>
    </row>
    <row r="90" spans="1:13">
      <c r="A90" s="2591">
        <v>11500100002</v>
      </c>
      <c r="B90" s="852" t="s">
        <v>1560</v>
      </c>
      <c r="C90" s="1541">
        <v>6592121.2300000004</v>
      </c>
      <c r="D90" s="1541">
        <v>0</v>
      </c>
      <c r="E90" s="2593">
        <f t="shared" si="2"/>
        <v>6592</v>
      </c>
      <c r="F90" s="2593">
        <f t="shared" si="2"/>
        <v>0</v>
      </c>
    </row>
    <row r="91" spans="1:13">
      <c r="A91" s="2591">
        <v>20100100001</v>
      </c>
      <c r="B91" s="852" t="s">
        <v>350</v>
      </c>
      <c r="C91" s="1541">
        <v>0</v>
      </c>
      <c r="D91" s="1541">
        <v>106898081.56999999</v>
      </c>
      <c r="E91" s="2593">
        <f t="shared" si="2"/>
        <v>0</v>
      </c>
      <c r="F91" s="2593">
        <f t="shared" si="2"/>
        <v>106898</v>
      </c>
    </row>
    <row r="92" spans="1:13">
      <c r="A92" s="2591">
        <v>20100200001</v>
      </c>
      <c r="B92" s="852" t="s">
        <v>352</v>
      </c>
      <c r="C92" s="1541">
        <v>32030703.010000002</v>
      </c>
      <c r="D92" s="1541">
        <v>0</v>
      </c>
      <c r="E92" s="2593">
        <f t="shared" si="2"/>
        <v>32031</v>
      </c>
      <c r="F92" s="2593">
        <f t="shared" si="2"/>
        <v>0</v>
      </c>
    </row>
    <row r="93" spans="1:13">
      <c r="A93" s="2591">
        <v>20100300001</v>
      </c>
      <c r="B93" s="852" t="s">
        <v>354</v>
      </c>
      <c r="C93" s="1541">
        <v>0</v>
      </c>
      <c r="D93" s="1541">
        <v>291992677.45999998</v>
      </c>
      <c r="E93" s="2593">
        <f t="shared" si="2"/>
        <v>0</v>
      </c>
      <c r="F93" s="2593">
        <f t="shared" si="2"/>
        <v>291993</v>
      </c>
    </row>
    <row r="94" spans="1:13">
      <c r="A94" s="2591">
        <v>20100400001</v>
      </c>
      <c r="B94" s="852" t="s">
        <v>356</v>
      </c>
      <c r="C94" s="1541">
        <v>88258031.879999995</v>
      </c>
      <c r="D94" s="1541">
        <v>0</v>
      </c>
      <c r="E94" s="2593">
        <f t="shared" si="2"/>
        <v>88258</v>
      </c>
      <c r="F94" s="2593">
        <f t="shared" si="2"/>
        <v>0</v>
      </c>
    </row>
    <row r="95" spans="1:13">
      <c r="A95" s="2591">
        <v>20200100001</v>
      </c>
      <c r="B95" s="852" t="s">
        <v>365</v>
      </c>
      <c r="C95" s="1541">
        <v>4803127.08</v>
      </c>
      <c r="D95" s="1541">
        <v>0</v>
      </c>
      <c r="E95" s="2593">
        <f t="shared" si="2"/>
        <v>4803</v>
      </c>
      <c r="F95" s="2593">
        <f t="shared" si="2"/>
        <v>0</v>
      </c>
    </row>
    <row r="96" spans="1:13" s="2427" customFormat="1">
      <c r="A96" s="2591">
        <v>20200200001</v>
      </c>
      <c r="B96" s="852" t="s">
        <v>358</v>
      </c>
      <c r="C96" s="1541">
        <v>19787005.199999999</v>
      </c>
      <c r="D96" s="1541">
        <v>0</v>
      </c>
      <c r="E96" s="2593">
        <f t="shared" si="2"/>
        <v>19787</v>
      </c>
      <c r="F96" s="2593">
        <f t="shared" si="2"/>
        <v>0</v>
      </c>
      <c r="G96" s="2428"/>
      <c r="H96" s="2262"/>
      <c r="I96" s="2428"/>
      <c r="J96" s="2429">
        <f>J97/1000</f>
        <v>33762.46802</v>
      </c>
      <c r="L96" s="2427">
        <f>ROUND(D96/1000,0)</f>
        <v>0</v>
      </c>
    </row>
    <row r="97" spans="1:16">
      <c r="A97" s="2591">
        <v>20300100001</v>
      </c>
      <c r="B97" s="852" t="s">
        <v>345</v>
      </c>
      <c r="C97" s="1541">
        <v>0</v>
      </c>
      <c r="D97" s="1541">
        <v>33707659.93</v>
      </c>
      <c r="E97" s="2593">
        <f t="shared" si="2"/>
        <v>0</v>
      </c>
      <c r="F97" s="2593">
        <f t="shared" si="2"/>
        <v>33708</v>
      </c>
      <c r="J97" s="2265">
        <f>D97+D106+J105</f>
        <v>33762468.020000003</v>
      </c>
      <c r="K97" s="2263">
        <f>ROUND((D96+D99)/1000,0)</f>
        <v>966</v>
      </c>
    </row>
    <row r="98" spans="1:16">
      <c r="A98" s="2591">
        <v>20500100001</v>
      </c>
      <c r="B98" s="852" t="s">
        <v>360</v>
      </c>
      <c r="C98" s="1541">
        <v>0</v>
      </c>
      <c r="D98" s="1541">
        <v>595888505.63</v>
      </c>
      <c r="E98" s="2593">
        <f t="shared" si="2"/>
        <v>0</v>
      </c>
      <c r="F98" s="2593">
        <f t="shared" si="2"/>
        <v>595889</v>
      </c>
      <c r="J98" s="2265"/>
    </row>
    <row r="99" spans="1:16" s="2427" customFormat="1">
      <c r="A99" s="2591">
        <v>30100100001</v>
      </c>
      <c r="B99" s="852" t="s">
        <v>255</v>
      </c>
      <c r="C99" s="1541">
        <v>0</v>
      </c>
      <c r="D99" s="1541">
        <v>966223.23</v>
      </c>
      <c r="E99" s="2593">
        <f t="shared" si="2"/>
        <v>0</v>
      </c>
      <c r="F99" s="2593">
        <f t="shared" si="2"/>
        <v>966</v>
      </c>
      <c r="G99" s="2428"/>
      <c r="H99" s="2262"/>
      <c r="I99" s="2428"/>
      <c r="L99" s="2427">
        <f>ROUND(D99/1000,0)</f>
        <v>966</v>
      </c>
    </row>
    <row r="100" spans="1:16" s="2427" customFormat="1">
      <c r="A100" s="2591">
        <v>30100200001</v>
      </c>
      <c r="B100" s="852" t="s">
        <v>290</v>
      </c>
      <c r="C100" s="1541">
        <v>0</v>
      </c>
      <c r="D100" s="1541">
        <v>11072.43</v>
      </c>
      <c r="E100" s="2593">
        <f t="shared" si="2"/>
        <v>0</v>
      </c>
      <c r="F100" s="2593">
        <f t="shared" si="2"/>
        <v>11</v>
      </c>
      <c r="G100" s="2428"/>
      <c r="H100" s="2262"/>
      <c r="I100" s="2428"/>
      <c r="K100" s="2430">
        <v>16590</v>
      </c>
      <c r="L100" s="2427">
        <f>ROUND(SUM(D97+D100)/1000,0)</f>
        <v>33719</v>
      </c>
      <c r="P100" s="2429">
        <f>(110260/1000)+K117</f>
        <v>175.46462000000002</v>
      </c>
    </row>
    <row r="101" spans="1:16" s="2427" customFormat="1">
      <c r="A101" s="2591">
        <v>30100200003</v>
      </c>
      <c r="B101" s="852" t="s">
        <v>2299</v>
      </c>
      <c r="C101" s="1541">
        <v>0</v>
      </c>
      <c r="D101" s="1541">
        <v>0.39</v>
      </c>
      <c r="E101" s="2593">
        <f t="shared" si="2"/>
        <v>0</v>
      </c>
      <c r="F101" s="2593">
        <f t="shared" si="2"/>
        <v>0</v>
      </c>
      <c r="G101" s="2428"/>
      <c r="H101" s="2262"/>
      <c r="I101" s="2428"/>
    </row>
    <row r="102" spans="1:16" s="2427" customFormat="1">
      <c r="A102" s="2591">
        <v>30100600001</v>
      </c>
      <c r="B102" s="852" t="s">
        <v>257</v>
      </c>
      <c r="C102" s="1541">
        <v>0</v>
      </c>
      <c r="D102" s="1541">
        <v>125063.77</v>
      </c>
      <c r="E102" s="2593">
        <f t="shared" si="2"/>
        <v>0</v>
      </c>
      <c r="F102" s="2593">
        <f t="shared" si="2"/>
        <v>125</v>
      </c>
      <c r="G102" s="2428"/>
      <c r="H102" s="2262"/>
      <c r="I102" s="2428"/>
      <c r="L102" s="2428">
        <f>ROUND(D102/1000,0)</f>
        <v>125</v>
      </c>
    </row>
    <row r="103" spans="1:16" s="2427" customFormat="1">
      <c r="A103" s="2591">
        <v>30100700001</v>
      </c>
      <c r="B103" s="852" t="s">
        <v>292</v>
      </c>
      <c r="C103" s="1541">
        <v>0</v>
      </c>
      <c r="D103" s="1541">
        <v>16589808.17</v>
      </c>
      <c r="E103" s="2593">
        <f t="shared" si="2"/>
        <v>0</v>
      </c>
      <c r="F103" s="2593">
        <f t="shared" si="2"/>
        <v>16590</v>
      </c>
      <c r="G103" s="2428"/>
      <c r="H103" s="2262"/>
      <c r="I103" s="2428"/>
      <c r="K103" s="2427">
        <f>ROUND((D103+D101)/1000,0)</f>
        <v>16590</v>
      </c>
    </row>
    <row r="104" spans="1:16" s="2427" customFormat="1">
      <c r="A104" s="2591">
        <v>30100800001</v>
      </c>
      <c r="B104" s="852" t="s">
        <v>293</v>
      </c>
      <c r="C104" s="1541">
        <v>0</v>
      </c>
      <c r="D104" s="1541">
        <v>7518.38</v>
      </c>
      <c r="E104" s="2593">
        <f t="shared" si="2"/>
        <v>0</v>
      </c>
      <c r="F104" s="2593">
        <f t="shared" si="2"/>
        <v>8</v>
      </c>
      <c r="G104" s="2428"/>
      <c r="H104" s="2262"/>
      <c r="I104" s="2428"/>
      <c r="K104" s="2427">
        <f>ROUND(D104/1000,0)</f>
        <v>8</v>
      </c>
    </row>
    <row r="105" spans="1:16">
      <c r="A105" s="2591">
        <v>30100900001</v>
      </c>
      <c r="B105" s="852" t="s">
        <v>295</v>
      </c>
      <c r="C105" s="1541">
        <v>0</v>
      </c>
      <c r="D105" s="1541">
        <v>4746222</v>
      </c>
      <c r="E105" s="2593">
        <f t="shared" si="2"/>
        <v>0</v>
      </c>
      <c r="F105" s="2593">
        <f t="shared" si="2"/>
        <v>4746</v>
      </c>
    </row>
    <row r="106" spans="1:16" s="2427" customFormat="1">
      <c r="A106" s="2591">
        <v>30200100001</v>
      </c>
      <c r="B106" s="852" t="s">
        <v>265</v>
      </c>
      <c r="C106" s="1541">
        <v>0</v>
      </c>
      <c r="D106" s="1541">
        <v>54808.090000000004</v>
      </c>
      <c r="E106" s="2593">
        <f t="shared" si="2"/>
        <v>0</v>
      </c>
      <c r="F106" s="2593">
        <f t="shared" si="2"/>
        <v>55</v>
      </c>
      <c r="G106" s="2428"/>
      <c r="H106" s="2262"/>
      <c r="I106" s="2428"/>
      <c r="K106" s="2429">
        <f>ROUND(D106/1000,0)</f>
        <v>55</v>
      </c>
    </row>
    <row r="107" spans="1:16">
      <c r="A107" s="2591">
        <v>30400100001</v>
      </c>
      <c r="B107" s="852" t="s">
        <v>270</v>
      </c>
      <c r="C107" s="1541">
        <v>0</v>
      </c>
      <c r="D107" s="1541">
        <v>37877.590000000004</v>
      </c>
      <c r="E107" s="2593">
        <f t="shared" si="2"/>
        <v>0</v>
      </c>
      <c r="F107" s="2593">
        <f t="shared" si="2"/>
        <v>38</v>
      </c>
    </row>
    <row r="108" spans="1:16">
      <c r="A108" s="2591">
        <v>30500100001</v>
      </c>
      <c r="B108" s="852" t="s">
        <v>281</v>
      </c>
      <c r="C108" s="1541">
        <v>0</v>
      </c>
      <c r="D108" s="1541">
        <v>2.08</v>
      </c>
      <c r="E108" s="2593">
        <f t="shared" si="2"/>
        <v>0</v>
      </c>
      <c r="F108" s="2593">
        <f t="shared" si="2"/>
        <v>0</v>
      </c>
      <c r="M108" s="2263">
        <f>L115+L102+L100</f>
        <v>33844</v>
      </c>
    </row>
    <row r="109" spans="1:16">
      <c r="A109" s="2591">
        <v>30700100001</v>
      </c>
      <c r="B109" s="852" t="s">
        <v>275</v>
      </c>
      <c r="C109" s="1541">
        <v>0</v>
      </c>
      <c r="D109" s="1541">
        <v>2078661.67</v>
      </c>
      <c r="E109" s="2593">
        <f t="shared" si="2"/>
        <v>0</v>
      </c>
      <c r="F109" s="2593">
        <f t="shared" si="2"/>
        <v>2079</v>
      </c>
      <c r="K109" s="2265">
        <f>(-C109+D109)/1000</f>
        <v>2078.66167</v>
      </c>
    </row>
    <row r="110" spans="1:16" s="2427" customFormat="1">
      <c r="A110" s="2591">
        <v>30900100001</v>
      </c>
      <c r="B110" s="852" t="s">
        <v>297</v>
      </c>
      <c r="C110" s="1541">
        <v>0</v>
      </c>
      <c r="D110" s="1541">
        <v>191.04</v>
      </c>
      <c r="E110" s="2593">
        <f t="shared" si="2"/>
        <v>0</v>
      </c>
      <c r="F110" s="2593">
        <f t="shared" si="2"/>
        <v>0</v>
      </c>
      <c r="G110" s="2428"/>
      <c r="H110" s="2807">
        <f>F109+F110</f>
        <v>2079</v>
      </c>
      <c r="L110" s="2428">
        <f>(D110/1000)</f>
        <v>0.19103999999999999</v>
      </c>
    </row>
    <row r="111" spans="1:16" s="2427" customFormat="1">
      <c r="A111" s="2591">
        <v>31000400002</v>
      </c>
      <c r="B111" s="852" t="s">
        <v>299</v>
      </c>
      <c r="C111" s="1541">
        <v>0</v>
      </c>
      <c r="D111" s="1541">
        <v>904347.33000000007</v>
      </c>
      <c r="E111" s="2593">
        <f t="shared" si="2"/>
        <v>0</v>
      </c>
      <c r="F111" s="2593">
        <f t="shared" si="2"/>
        <v>904</v>
      </c>
      <c r="G111" s="2428"/>
      <c r="H111" s="2262"/>
      <c r="I111" s="2428"/>
      <c r="K111" s="2427">
        <f>+D111/1000</f>
        <v>904.34733000000006</v>
      </c>
    </row>
    <row r="112" spans="1:16" s="2427" customFormat="1">
      <c r="A112" s="2591">
        <v>31000500001</v>
      </c>
      <c r="B112" s="852" t="s">
        <v>301</v>
      </c>
      <c r="C112" s="1541">
        <v>0</v>
      </c>
      <c r="D112" s="1541">
        <v>20302.25</v>
      </c>
      <c r="E112" s="2593">
        <f t="shared" si="2"/>
        <v>0</v>
      </c>
      <c r="F112" s="2593">
        <f t="shared" si="2"/>
        <v>20</v>
      </c>
      <c r="G112" s="2428"/>
      <c r="H112" s="2262"/>
      <c r="I112" s="2428"/>
      <c r="K112" s="2429">
        <f t="shared" ref="K112:K117" si="3">D112/1000</f>
        <v>20.302250000000001</v>
      </c>
      <c r="M112" s="2427">
        <f>K97+L102+L115</f>
        <v>1091</v>
      </c>
    </row>
    <row r="113" spans="1:13" s="2427" customFormat="1">
      <c r="A113" s="2591">
        <v>31000600001</v>
      </c>
      <c r="B113" s="852" t="s">
        <v>305</v>
      </c>
      <c r="C113" s="1541">
        <v>0.25</v>
      </c>
      <c r="D113" s="1541">
        <v>0</v>
      </c>
      <c r="E113" s="2593">
        <f t="shared" si="2"/>
        <v>0</v>
      </c>
      <c r="F113" s="2593">
        <f t="shared" si="2"/>
        <v>0</v>
      </c>
      <c r="G113" s="2428"/>
      <c r="H113" s="2262"/>
      <c r="I113" s="2428"/>
      <c r="K113" s="2429">
        <f t="shared" si="3"/>
        <v>0</v>
      </c>
    </row>
    <row r="114" spans="1:13" s="2427" customFormat="1">
      <c r="A114" s="2591">
        <v>31000700001</v>
      </c>
      <c r="B114" s="852" t="s">
        <v>307</v>
      </c>
      <c r="C114" s="1541">
        <v>0</v>
      </c>
      <c r="D114" s="1541">
        <v>541543.57000000007</v>
      </c>
      <c r="E114" s="2593">
        <f t="shared" si="2"/>
        <v>0</v>
      </c>
      <c r="F114" s="2593">
        <f t="shared" si="2"/>
        <v>542</v>
      </c>
      <c r="G114" s="2428"/>
      <c r="H114" s="2262"/>
      <c r="I114" s="2428"/>
      <c r="K114" s="2429">
        <f t="shared" si="3"/>
        <v>541.54357000000005</v>
      </c>
    </row>
    <row r="115" spans="1:13" s="2427" customFormat="1">
      <c r="A115" s="2591">
        <v>31000800001</v>
      </c>
      <c r="B115" s="852" t="s">
        <v>309</v>
      </c>
      <c r="C115" s="1541">
        <v>0</v>
      </c>
      <c r="D115" s="1541">
        <v>43816</v>
      </c>
      <c r="E115" s="2593">
        <f t="shared" si="2"/>
        <v>0</v>
      </c>
      <c r="F115" s="2593">
        <f t="shared" si="2"/>
        <v>44</v>
      </c>
      <c r="G115" s="2428"/>
      <c r="H115" s="2262"/>
      <c r="I115" s="2428"/>
      <c r="K115" s="2429">
        <f t="shared" si="3"/>
        <v>43.816000000000003</v>
      </c>
      <c r="L115" s="2427">
        <f>ROUND(K115/1000,0)</f>
        <v>0</v>
      </c>
      <c r="M115" s="2427" t="e">
        <f>((D115-#REF!)/1000)</f>
        <v>#REF!</v>
      </c>
    </row>
    <row r="116" spans="1:13" s="2427" customFormat="1">
      <c r="A116" s="2591">
        <v>31001200001</v>
      </c>
      <c r="B116" s="852" t="s">
        <v>258</v>
      </c>
      <c r="C116" s="1541">
        <v>0</v>
      </c>
      <c r="D116" s="1541">
        <v>423236.17</v>
      </c>
      <c r="E116" s="2593">
        <f t="shared" si="2"/>
        <v>0</v>
      </c>
      <c r="F116" s="2593">
        <f t="shared" si="2"/>
        <v>423</v>
      </c>
      <c r="G116" s="2428"/>
      <c r="H116" s="2262"/>
      <c r="I116" s="2428"/>
      <c r="K116" s="2429">
        <f t="shared" si="3"/>
        <v>423.23616999999996</v>
      </c>
    </row>
    <row r="117" spans="1:13">
      <c r="A117" s="2591">
        <v>31001700001</v>
      </c>
      <c r="B117" s="852" t="s">
        <v>317</v>
      </c>
      <c r="C117" s="1541">
        <v>0</v>
      </c>
      <c r="D117" s="1541">
        <v>65204.62</v>
      </c>
      <c r="E117" s="2593">
        <f t="shared" si="2"/>
        <v>0</v>
      </c>
      <c r="F117" s="2593">
        <f t="shared" si="2"/>
        <v>65</v>
      </c>
      <c r="K117" s="2265">
        <f t="shared" si="3"/>
        <v>65.204620000000006</v>
      </c>
    </row>
    <row r="118" spans="1:13" s="2432" customFormat="1">
      <c r="A118" s="2591">
        <v>31001900001</v>
      </c>
      <c r="B118" s="852" t="s">
        <v>1341</v>
      </c>
      <c r="C118" s="1541">
        <v>0</v>
      </c>
      <c r="D118" s="1541">
        <v>306582</v>
      </c>
      <c r="E118" s="2593">
        <f t="shared" si="2"/>
        <v>0</v>
      </c>
      <c r="F118" s="2593">
        <f t="shared" si="2"/>
        <v>307</v>
      </c>
      <c r="G118" s="2433"/>
      <c r="H118" s="2262"/>
      <c r="I118" s="2433"/>
      <c r="K118" s="2432" t="e">
        <f>SUM(C118:C120)-#REF!</f>
        <v>#REF!</v>
      </c>
    </row>
    <row r="119" spans="1:13" s="2432" customFormat="1">
      <c r="A119" s="2591">
        <v>31200100001</v>
      </c>
      <c r="B119" s="852" t="s">
        <v>260</v>
      </c>
      <c r="C119" s="1541">
        <v>0</v>
      </c>
      <c r="D119" s="1541">
        <v>70084.55</v>
      </c>
      <c r="E119" s="2593">
        <f t="shared" si="2"/>
        <v>0</v>
      </c>
      <c r="F119" s="2593">
        <f t="shared" si="2"/>
        <v>70</v>
      </c>
      <c r="G119" s="2433"/>
      <c r="H119" s="2808">
        <f>F119-E120</f>
        <v>70</v>
      </c>
      <c r="I119" s="2433"/>
      <c r="K119" s="2432" t="e">
        <f>ROUND(SUM(C118+C119+C120-#REF!-D118-D119-D120)/1000,0)</f>
        <v>#REF!</v>
      </c>
      <c r="L119" s="2432" t="s">
        <v>1976</v>
      </c>
    </row>
    <row r="120" spans="1:13" s="2432" customFormat="1">
      <c r="A120" s="2591">
        <v>314001001</v>
      </c>
      <c r="B120" s="852" t="s">
        <v>2253</v>
      </c>
      <c r="C120" s="1541">
        <v>0</v>
      </c>
      <c r="D120" s="1541">
        <v>165288.99</v>
      </c>
      <c r="E120" s="2593">
        <f t="shared" si="2"/>
        <v>0</v>
      </c>
      <c r="F120" s="2593">
        <f t="shared" si="2"/>
        <v>165</v>
      </c>
      <c r="G120" s="2433"/>
      <c r="H120" s="2262"/>
      <c r="I120" s="2433"/>
    </row>
    <row r="121" spans="1:13">
      <c r="A121" s="2591">
        <v>40100300001</v>
      </c>
      <c r="B121" s="852" t="s">
        <v>377</v>
      </c>
      <c r="C121" s="1541">
        <v>0</v>
      </c>
      <c r="D121" s="1541">
        <v>264100</v>
      </c>
      <c r="E121" s="2593">
        <f t="shared" si="2"/>
        <v>0</v>
      </c>
      <c r="F121" s="2593">
        <f t="shared" si="2"/>
        <v>264</v>
      </c>
    </row>
    <row r="122" spans="1:13">
      <c r="A122" s="2591">
        <v>40100400001</v>
      </c>
      <c r="B122" s="852" t="s">
        <v>379</v>
      </c>
      <c r="C122" s="1541">
        <v>1112352.6499999999</v>
      </c>
      <c r="D122" s="1541">
        <v>0</v>
      </c>
      <c r="E122" s="2593">
        <f t="shared" si="2"/>
        <v>1112</v>
      </c>
      <c r="F122" s="2593">
        <f t="shared" si="2"/>
        <v>0</v>
      </c>
      <c r="H122" s="2808">
        <f>F124-E125-E122</f>
        <v>-1112</v>
      </c>
    </row>
    <row r="123" spans="1:13">
      <c r="A123" s="2591">
        <v>40101000001</v>
      </c>
      <c r="B123" s="852" t="s">
        <v>499</v>
      </c>
      <c r="C123" s="1541">
        <v>0</v>
      </c>
      <c r="D123" s="1541">
        <v>5837250</v>
      </c>
      <c r="E123" s="2593">
        <f t="shared" si="2"/>
        <v>0</v>
      </c>
      <c r="F123" s="2593">
        <f t="shared" si="2"/>
        <v>5837</v>
      </c>
    </row>
    <row r="124" spans="1:13">
      <c r="A124" s="2591">
        <v>40101200001</v>
      </c>
      <c r="B124" s="852" t="s">
        <v>487</v>
      </c>
      <c r="C124" s="1541">
        <v>17226141.300000001</v>
      </c>
      <c r="D124" s="1541">
        <v>0</v>
      </c>
      <c r="E124" s="2593">
        <f t="shared" si="2"/>
        <v>17226</v>
      </c>
      <c r="F124" s="2593">
        <f t="shared" si="2"/>
        <v>0</v>
      </c>
      <c r="K124" s="2427">
        <f>(F125+F126)-(SUM(E124:E129))</f>
        <v>-10107</v>
      </c>
    </row>
    <row r="125" spans="1:13">
      <c r="A125" s="2591">
        <v>40101300001</v>
      </c>
      <c r="B125" s="852" t="s">
        <v>389</v>
      </c>
      <c r="C125" s="1541">
        <v>0</v>
      </c>
      <c r="D125" s="1541">
        <v>5584532.0999999996</v>
      </c>
      <c r="E125" s="2593">
        <f t="shared" si="2"/>
        <v>0</v>
      </c>
      <c r="F125" s="2593">
        <f t="shared" si="2"/>
        <v>5585</v>
      </c>
    </row>
    <row r="126" spans="1:13" s="2432" customFormat="1">
      <c r="A126" s="2591">
        <v>40101400001</v>
      </c>
      <c r="B126" s="852" t="s">
        <v>489</v>
      </c>
      <c r="C126" s="1541">
        <v>0</v>
      </c>
      <c r="D126" s="1541">
        <v>1537040</v>
      </c>
      <c r="E126" s="2593">
        <f t="shared" si="2"/>
        <v>0</v>
      </c>
      <c r="F126" s="2593">
        <f t="shared" si="2"/>
        <v>1537</v>
      </c>
      <c r="G126" s="2433"/>
      <c r="H126" s="2262"/>
      <c r="I126" s="2433"/>
      <c r="K126" s="2434"/>
    </row>
    <row r="127" spans="1:13" s="2432" customFormat="1">
      <c r="A127" s="2591">
        <v>40101600001</v>
      </c>
      <c r="B127" s="852" t="s">
        <v>493</v>
      </c>
      <c r="C127" s="1541">
        <v>3429</v>
      </c>
      <c r="D127" s="1541">
        <v>0</v>
      </c>
      <c r="E127" s="2593">
        <f t="shared" si="2"/>
        <v>3</v>
      </c>
      <c r="F127" s="2593">
        <f t="shared" si="2"/>
        <v>0</v>
      </c>
      <c r="G127" s="2433"/>
      <c r="H127" s="2262"/>
      <c r="I127" s="2433"/>
    </row>
    <row r="128" spans="1:13" s="2432" customFormat="1">
      <c r="A128" s="2591">
        <v>40200100001</v>
      </c>
      <c r="B128" s="852" t="s">
        <v>447</v>
      </c>
      <c r="C128" s="1541">
        <v>0</v>
      </c>
      <c r="D128" s="1541">
        <v>1533589.15</v>
      </c>
      <c r="E128" s="2593">
        <f t="shared" si="2"/>
        <v>0</v>
      </c>
      <c r="F128" s="2593">
        <f t="shared" si="2"/>
        <v>1534</v>
      </c>
      <c r="G128" s="2433"/>
      <c r="H128" s="2262"/>
      <c r="I128" s="2433"/>
    </row>
    <row r="129" spans="1:15">
      <c r="A129" s="2591">
        <v>40200100005</v>
      </c>
      <c r="B129" s="852" t="s">
        <v>449</v>
      </c>
      <c r="C129" s="1541">
        <v>0</v>
      </c>
      <c r="D129" s="1541">
        <v>8512.19</v>
      </c>
      <c r="E129" s="2593">
        <f t="shared" si="2"/>
        <v>0</v>
      </c>
      <c r="F129" s="2593">
        <f t="shared" si="2"/>
        <v>9</v>
      </c>
    </row>
    <row r="130" spans="1:15" s="2432" customFormat="1">
      <c r="A130" s="2591">
        <v>40200100011</v>
      </c>
      <c r="B130" s="852" t="s">
        <v>451</v>
      </c>
      <c r="C130" s="1541">
        <v>0</v>
      </c>
      <c r="D130" s="1541">
        <v>18621</v>
      </c>
      <c r="E130" s="2593">
        <f t="shared" si="2"/>
        <v>0</v>
      </c>
      <c r="F130" s="2593">
        <f t="shared" si="2"/>
        <v>19</v>
      </c>
      <c r="G130" s="2433"/>
      <c r="H130" s="2427">
        <f>SUM(F128:F148)</f>
        <v>4961</v>
      </c>
      <c r="I130" s="2433"/>
    </row>
    <row r="131" spans="1:15" s="2432" customFormat="1">
      <c r="A131" s="2591">
        <v>40200100014</v>
      </c>
      <c r="B131" s="852" t="s">
        <v>453</v>
      </c>
      <c r="C131" s="1541">
        <v>0</v>
      </c>
      <c r="D131" s="1541">
        <v>294169.47000000003</v>
      </c>
      <c r="E131" s="2593">
        <f t="shared" si="2"/>
        <v>0</v>
      </c>
      <c r="F131" s="2593">
        <f t="shared" si="2"/>
        <v>294</v>
      </c>
      <c r="G131" s="2433"/>
      <c r="H131" s="2262"/>
      <c r="I131" s="2433"/>
    </row>
    <row r="132" spans="1:15" s="2432" customFormat="1">
      <c r="A132" s="2591">
        <v>40200100015</v>
      </c>
      <c r="B132" s="852" t="s">
        <v>455</v>
      </c>
      <c r="C132" s="1541">
        <v>0</v>
      </c>
      <c r="D132" s="1541">
        <v>16611.22</v>
      </c>
      <c r="E132" s="2593">
        <f t="shared" si="2"/>
        <v>0</v>
      </c>
      <c r="F132" s="2593">
        <f t="shared" si="2"/>
        <v>17</v>
      </c>
      <c r="G132" s="2433"/>
      <c r="H132" s="2262"/>
      <c r="I132" s="2433"/>
    </row>
    <row r="133" spans="1:15" s="2432" customFormat="1">
      <c r="A133" s="2591">
        <v>40200100017</v>
      </c>
      <c r="B133" s="852" t="s">
        <v>457</v>
      </c>
      <c r="C133" s="1541">
        <v>0</v>
      </c>
      <c r="D133" s="1541">
        <v>1998</v>
      </c>
      <c r="E133" s="2593">
        <f t="shared" si="2"/>
        <v>0</v>
      </c>
      <c r="F133" s="2593">
        <f t="shared" si="2"/>
        <v>2</v>
      </c>
      <c r="G133" s="2433"/>
      <c r="H133" s="2262"/>
      <c r="I133" s="2433"/>
    </row>
    <row r="134" spans="1:15" s="2432" customFormat="1">
      <c r="A134" s="2591">
        <v>40200100021</v>
      </c>
      <c r="B134" s="852" t="s">
        <v>459</v>
      </c>
      <c r="C134" s="1541">
        <v>0</v>
      </c>
      <c r="D134" s="1541">
        <v>154</v>
      </c>
      <c r="E134" s="2593">
        <f t="shared" si="2"/>
        <v>0</v>
      </c>
      <c r="F134" s="2593">
        <f t="shared" si="2"/>
        <v>0</v>
      </c>
      <c r="G134" s="2433"/>
      <c r="H134" s="2262"/>
      <c r="I134" s="2433"/>
    </row>
    <row r="135" spans="1:15" s="2432" customFormat="1">
      <c r="A135" s="2591">
        <v>40200100034</v>
      </c>
      <c r="B135" s="852" t="s">
        <v>465</v>
      </c>
      <c r="C135" s="1541">
        <v>0</v>
      </c>
      <c r="D135" s="1541">
        <v>22</v>
      </c>
      <c r="E135" s="2593">
        <f t="shared" si="2"/>
        <v>0</v>
      </c>
      <c r="F135" s="2593">
        <f t="shared" si="2"/>
        <v>0</v>
      </c>
      <c r="G135" s="2433"/>
      <c r="H135" s="2808">
        <f>F134+F135</f>
        <v>0</v>
      </c>
      <c r="I135" s="2433"/>
    </row>
    <row r="136" spans="1:15" s="2432" customFormat="1">
      <c r="A136" s="2591">
        <v>40200100069</v>
      </c>
      <c r="B136" s="852" t="s">
        <v>467</v>
      </c>
      <c r="C136" s="1541">
        <v>0</v>
      </c>
      <c r="D136" s="1541">
        <v>108</v>
      </c>
      <c r="E136" s="2593">
        <f t="shared" si="2"/>
        <v>0</v>
      </c>
      <c r="F136" s="2593">
        <f t="shared" si="2"/>
        <v>0</v>
      </c>
      <c r="G136" s="2433"/>
      <c r="H136" s="2262"/>
      <c r="I136" s="2433"/>
    </row>
    <row r="137" spans="1:15" s="2432" customFormat="1">
      <c r="A137" s="2591">
        <v>40200100072</v>
      </c>
      <c r="B137" s="852" t="s">
        <v>469</v>
      </c>
      <c r="C137" s="1541">
        <v>0</v>
      </c>
      <c r="D137" s="1541">
        <v>249</v>
      </c>
      <c r="E137" s="2593">
        <f t="shared" si="2"/>
        <v>0</v>
      </c>
      <c r="F137" s="2593">
        <f t="shared" si="2"/>
        <v>0</v>
      </c>
      <c r="G137" s="2433"/>
      <c r="H137" s="2262"/>
      <c r="I137" s="2433"/>
    </row>
    <row r="138" spans="1:15" s="2432" customFormat="1">
      <c r="A138" s="2591">
        <v>40200100075</v>
      </c>
      <c r="B138" s="852" t="s">
        <v>471</v>
      </c>
      <c r="C138" s="1541">
        <v>0</v>
      </c>
      <c r="D138" s="1541">
        <v>123</v>
      </c>
      <c r="E138" s="2593">
        <f t="shared" si="2"/>
        <v>0</v>
      </c>
      <c r="F138" s="2593">
        <f t="shared" si="2"/>
        <v>0</v>
      </c>
      <c r="G138" s="2433"/>
      <c r="H138" s="2262"/>
      <c r="I138" s="2433"/>
    </row>
    <row r="139" spans="1:15" s="2432" customFormat="1">
      <c r="A139" s="2591">
        <v>40200100077</v>
      </c>
      <c r="B139" s="852" t="s">
        <v>473</v>
      </c>
      <c r="C139" s="1541">
        <v>0</v>
      </c>
      <c r="D139" s="1541">
        <v>34</v>
      </c>
      <c r="E139" s="2593">
        <f t="shared" si="2"/>
        <v>0</v>
      </c>
      <c r="F139" s="2593">
        <f t="shared" si="2"/>
        <v>0</v>
      </c>
      <c r="G139" s="2433"/>
      <c r="H139" s="2262"/>
      <c r="I139" s="2433"/>
    </row>
    <row r="140" spans="1:15" s="2432" customFormat="1">
      <c r="A140" s="2591">
        <v>40200100078</v>
      </c>
      <c r="B140" s="852" t="s">
        <v>475</v>
      </c>
      <c r="C140" s="1541">
        <v>0</v>
      </c>
      <c r="D140" s="1541">
        <v>2000</v>
      </c>
      <c r="E140" s="2593">
        <f t="shared" si="2"/>
        <v>0</v>
      </c>
      <c r="F140" s="2593">
        <f t="shared" si="2"/>
        <v>2</v>
      </c>
      <c r="G140" s="2433"/>
      <c r="H140" s="2262"/>
      <c r="I140" s="2433">
        <f>'TB 18'!E30</f>
        <v>35000</v>
      </c>
    </row>
    <row r="141" spans="1:15" s="2432" customFormat="1">
      <c r="A141" s="2591">
        <v>40200100079</v>
      </c>
      <c r="B141" s="852" t="s">
        <v>477</v>
      </c>
      <c r="C141" s="1541">
        <v>0</v>
      </c>
      <c r="D141" s="1541">
        <v>1570026.3399999999</v>
      </c>
      <c r="E141" s="2593">
        <f t="shared" si="2"/>
        <v>0</v>
      </c>
      <c r="F141" s="2593">
        <f t="shared" si="2"/>
        <v>1570</v>
      </c>
      <c r="G141" s="2433"/>
      <c r="H141" s="2262"/>
      <c r="I141" s="2433"/>
      <c r="K141" s="2434"/>
    </row>
    <row r="142" spans="1:15" s="2432" customFormat="1">
      <c r="A142" s="2591">
        <v>40200100080</v>
      </c>
      <c r="B142" s="852" t="s">
        <v>479</v>
      </c>
      <c r="C142" s="1541">
        <v>0</v>
      </c>
      <c r="D142" s="1541">
        <v>262</v>
      </c>
      <c r="E142" s="2593">
        <f t="shared" si="2"/>
        <v>0</v>
      </c>
      <c r="F142" s="2593">
        <f t="shared" si="2"/>
        <v>0</v>
      </c>
      <c r="G142" s="2433"/>
      <c r="H142" s="2262"/>
      <c r="I142" s="2433"/>
      <c r="K142" s="2427">
        <f>F142+F143+F145+F146+F148-E145-E149</f>
        <v>1514</v>
      </c>
      <c r="O142" s="2595"/>
    </row>
    <row r="143" spans="1:15">
      <c r="A143" s="2591">
        <v>40200100082</v>
      </c>
      <c r="B143" s="852" t="s">
        <v>481</v>
      </c>
      <c r="C143" s="1541">
        <v>0</v>
      </c>
      <c r="D143" s="1541">
        <v>241</v>
      </c>
      <c r="E143" s="2593">
        <f t="shared" si="2"/>
        <v>0</v>
      </c>
      <c r="F143" s="2593">
        <f t="shared" si="2"/>
        <v>0</v>
      </c>
      <c r="O143" s="2596"/>
    </row>
    <row r="144" spans="1:15" s="2432" customFormat="1">
      <c r="A144" s="2591">
        <v>40200100085</v>
      </c>
      <c r="B144" s="852" t="s">
        <v>2514</v>
      </c>
      <c r="C144" s="1541">
        <v>0</v>
      </c>
      <c r="D144" s="1541">
        <v>287</v>
      </c>
      <c r="E144" s="2593">
        <f t="shared" si="2"/>
        <v>0</v>
      </c>
      <c r="F144" s="2593">
        <f t="shared" si="2"/>
        <v>0</v>
      </c>
      <c r="G144" s="2433"/>
      <c r="H144" s="2262"/>
      <c r="I144" s="2433"/>
      <c r="O144" s="2595"/>
    </row>
    <row r="145" spans="1:15">
      <c r="A145" s="2591">
        <v>40200100093</v>
      </c>
      <c r="B145" s="852" t="s">
        <v>1569</v>
      </c>
      <c r="C145" s="1541">
        <v>0</v>
      </c>
      <c r="D145" s="1541">
        <v>1269811.1499999999</v>
      </c>
      <c r="E145" s="2593">
        <f t="shared" si="2"/>
        <v>0</v>
      </c>
      <c r="F145" s="2593">
        <f t="shared" si="2"/>
        <v>1270</v>
      </c>
      <c r="K145" s="2265"/>
      <c r="O145" s="2596"/>
    </row>
    <row r="146" spans="1:15" s="2432" customFormat="1">
      <c r="A146" s="2591">
        <v>40200100096</v>
      </c>
      <c r="B146" s="852" t="s">
        <v>1913</v>
      </c>
      <c r="C146" s="1541">
        <v>0</v>
      </c>
      <c r="D146" s="1541">
        <v>30182</v>
      </c>
      <c r="E146" s="2593">
        <f t="shared" si="2"/>
        <v>0</v>
      </c>
      <c r="F146" s="2593">
        <f t="shared" si="2"/>
        <v>30</v>
      </c>
      <c r="G146" s="2433"/>
      <c r="H146" s="2262"/>
      <c r="I146" s="2433"/>
      <c r="K146" s="2432">
        <f>ROUND(K145/1000,0)</f>
        <v>0</v>
      </c>
      <c r="O146" s="2595"/>
    </row>
    <row r="147" spans="1:15" s="2432" customFormat="1">
      <c r="A147" s="2591">
        <v>40200100099</v>
      </c>
      <c r="B147" s="852" t="s">
        <v>1572</v>
      </c>
      <c r="C147" s="1541">
        <v>0</v>
      </c>
      <c r="D147" s="1541">
        <v>0.92</v>
      </c>
      <c r="E147" s="2593">
        <f t="shared" si="2"/>
        <v>0</v>
      </c>
      <c r="F147" s="2593">
        <f t="shared" si="2"/>
        <v>0</v>
      </c>
      <c r="G147" s="2433"/>
      <c r="H147" s="2262"/>
      <c r="I147" s="2433"/>
      <c r="O147" s="2595"/>
    </row>
    <row r="148" spans="1:15">
      <c r="A148" s="2591">
        <v>40200100111</v>
      </c>
      <c r="B148" s="852" t="s">
        <v>2255</v>
      </c>
      <c r="C148" s="1541">
        <v>0</v>
      </c>
      <c r="D148" s="1541">
        <v>214356.25</v>
      </c>
      <c r="E148" s="2593">
        <f t="shared" si="2"/>
        <v>0</v>
      </c>
      <c r="F148" s="2593">
        <f t="shared" si="2"/>
        <v>214</v>
      </c>
      <c r="O148" s="2596"/>
    </row>
    <row r="149" spans="1:15">
      <c r="A149" s="2591">
        <v>40200300001</v>
      </c>
      <c r="B149" s="852" t="s">
        <v>397</v>
      </c>
      <c r="C149" s="1541">
        <v>0</v>
      </c>
      <c r="D149" s="1541">
        <v>3451061.7800000003</v>
      </c>
      <c r="E149" s="2593">
        <f t="shared" si="2"/>
        <v>0</v>
      </c>
      <c r="F149" s="2593">
        <f t="shared" si="2"/>
        <v>3451</v>
      </c>
      <c r="H149" s="2808">
        <f>SUM(E149:E152)</f>
        <v>0</v>
      </c>
    </row>
    <row r="150" spans="1:15" s="2432" customFormat="1">
      <c r="A150" s="2591">
        <v>40201400001</v>
      </c>
      <c r="B150" s="852" t="s">
        <v>400</v>
      </c>
      <c r="C150" s="1541">
        <v>0</v>
      </c>
      <c r="D150" s="1541">
        <v>29123.3</v>
      </c>
      <c r="E150" s="2593">
        <f t="shared" ref="E150:F177" si="4">ROUND(C150/1000,0)</f>
        <v>0</v>
      </c>
      <c r="F150" s="2593">
        <f t="shared" si="4"/>
        <v>29</v>
      </c>
      <c r="G150" s="2433"/>
      <c r="H150" s="2262"/>
      <c r="I150" s="2433"/>
      <c r="L150" s="2432">
        <f>ROUND(D150/1000,0)</f>
        <v>29</v>
      </c>
    </row>
    <row r="151" spans="1:15">
      <c r="A151" s="2591">
        <v>40201600001</v>
      </c>
      <c r="B151" s="852" t="s">
        <v>414</v>
      </c>
      <c r="C151" s="1541">
        <v>0</v>
      </c>
      <c r="D151" s="1541">
        <v>1404708.81</v>
      </c>
      <c r="E151" s="2593">
        <f t="shared" si="4"/>
        <v>0</v>
      </c>
      <c r="F151" s="2593">
        <f t="shared" si="4"/>
        <v>1405</v>
      </c>
    </row>
    <row r="152" spans="1:15">
      <c r="A152" s="2591">
        <v>40202100001</v>
      </c>
      <c r="B152" s="852" t="s">
        <v>391</v>
      </c>
      <c r="C152" s="1541">
        <v>0</v>
      </c>
      <c r="D152" s="1541">
        <v>14047898.85</v>
      </c>
      <c r="E152" s="2593">
        <f t="shared" si="4"/>
        <v>0</v>
      </c>
      <c r="F152" s="2593">
        <f t="shared" si="4"/>
        <v>14048</v>
      </c>
    </row>
    <row r="153" spans="1:15">
      <c r="A153" s="2591">
        <v>40300100001</v>
      </c>
      <c r="B153" s="852" t="s">
        <v>433</v>
      </c>
      <c r="C153" s="1541">
        <v>0</v>
      </c>
      <c r="D153" s="1541">
        <v>283231.76</v>
      </c>
      <c r="E153" s="2593">
        <f t="shared" si="4"/>
        <v>0</v>
      </c>
      <c r="F153" s="2593">
        <f t="shared" si="4"/>
        <v>283</v>
      </c>
    </row>
    <row r="154" spans="1:15">
      <c r="A154" s="2591">
        <v>40400100001</v>
      </c>
      <c r="B154" s="852" t="s">
        <v>661</v>
      </c>
      <c r="C154" s="1541">
        <v>0</v>
      </c>
      <c r="D154" s="1541">
        <v>4803127.08</v>
      </c>
      <c r="E154" s="2593">
        <f t="shared" si="4"/>
        <v>0</v>
      </c>
      <c r="F154" s="2593">
        <f t="shared" si="4"/>
        <v>4803</v>
      </c>
      <c r="J154" s="2263">
        <f>ROUND(C154/1000,0)</f>
        <v>0</v>
      </c>
    </row>
    <row r="155" spans="1:15">
      <c r="A155" s="2591">
        <v>40400200001</v>
      </c>
      <c r="B155" s="852" t="s">
        <v>666</v>
      </c>
      <c r="C155" s="1541">
        <v>0</v>
      </c>
      <c r="D155" s="1541">
        <v>19787005.199999999</v>
      </c>
      <c r="E155" s="2593">
        <f t="shared" si="4"/>
        <v>0</v>
      </c>
      <c r="F155" s="2593">
        <f t="shared" si="4"/>
        <v>19787</v>
      </c>
      <c r="J155" s="2263">
        <f>ROUND(C155/1000,0)</f>
        <v>0</v>
      </c>
    </row>
    <row r="156" spans="1:15">
      <c r="A156" s="2591">
        <v>4080090009</v>
      </c>
      <c r="B156" s="852" t="s">
        <v>441</v>
      </c>
      <c r="C156" s="1541">
        <v>0</v>
      </c>
      <c r="D156" s="1541">
        <v>580.20000000000005</v>
      </c>
      <c r="E156" s="2593">
        <f t="shared" si="4"/>
        <v>0</v>
      </c>
      <c r="F156" s="2593">
        <f t="shared" si="4"/>
        <v>1</v>
      </c>
      <c r="J156" s="2263">
        <f>ROUND(C156/1000,0)</f>
        <v>0</v>
      </c>
    </row>
    <row r="157" spans="1:15">
      <c r="A157" s="2591">
        <v>50100100001</v>
      </c>
      <c r="B157" s="852" t="s">
        <v>511</v>
      </c>
      <c r="C157" s="1541">
        <v>1993334</v>
      </c>
      <c r="D157" s="1541">
        <v>0</v>
      </c>
      <c r="E157" s="2593">
        <f t="shared" si="4"/>
        <v>1993</v>
      </c>
      <c r="F157" s="2593">
        <f t="shared" si="4"/>
        <v>0</v>
      </c>
      <c r="J157" s="2263">
        <f>ROUND(C157/1000,0)</f>
        <v>1993</v>
      </c>
    </row>
    <row r="158" spans="1:15">
      <c r="A158" s="2591">
        <v>50100100002</v>
      </c>
      <c r="B158" s="852" t="s">
        <v>513</v>
      </c>
      <c r="C158" s="1541">
        <v>259133.42</v>
      </c>
      <c r="D158" s="1541">
        <v>0</v>
      </c>
      <c r="E158" s="2593">
        <f t="shared" si="4"/>
        <v>259</v>
      </c>
      <c r="F158" s="2593">
        <f t="shared" si="4"/>
        <v>0</v>
      </c>
      <c r="J158" s="2263">
        <f>ROUND(C158/1000,0)</f>
        <v>259</v>
      </c>
    </row>
    <row r="159" spans="1:15">
      <c r="A159" s="2591">
        <v>50100200001</v>
      </c>
      <c r="B159" s="852" t="s">
        <v>521</v>
      </c>
      <c r="C159" s="1541">
        <v>142468</v>
      </c>
      <c r="D159" s="1541">
        <v>0</v>
      </c>
      <c r="E159" s="2593">
        <f t="shared" si="4"/>
        <v>142</v>
      </c>
      <c r="F159" s="2593">
        <f t="shared" si="4"/>
        <v>0</v>
      </c>
      <c r="G159" s="2445"/>
      <c r="J159" s="2263">
        <f>ROUND((C159+C160-D159-D160)/1000,0)</f>
        <v>161</v>
      </c>
    </row>
    <row r="160" spans="1:15">
      <c r="A160" s="2591">
        <v>50100200002</v>
      </c>
      <c r="B160" s="852" t="s">
        <v>649</v>
      </c>
      <c r="C160" s="1541">
        <v>18520</v>
      </c>
      <c r="D160" s="1541">
        <v>0</v>
      </c>
      <c r="E160" s="2593">
        <f t="shared" si="4"/>
        <v>19</v>
      </c>
      <c r="F160" s="2593">
        <f t="shared" si="4"/>
        <v>0</v>
      </c>
      <c r="G160" s="2445"/>
    </row>
    <row r="161" spans="1:11">
      <c r="A161" s="2591">
        <v>50100300001</v>
      </c>
      <c r="B161" s="852" t="s">
        <v>527</v>
      </c>
      <c r="C161" s="1541">
        <v>37878</v>
      </c>
      <c r="D161" s="1541">
        <v>0</v>
      </c>
      <c r="E161" s="2593">
        <f t="shared" si="4"/>
        <v>38</v>
      </c>
      <c r="F161" s="2593">
        <f t="shared" si="4"/>
        <v>0</v>
      </c>
    </row>
    <row r="162" spans="1:11">
      <c r="A162" s="2591">
        <v>50100500001</v>
      </c>
      <c r="B162" s="852" t="s">
        <v>654</v>
      </c>
      <c r="C162" s="1541">
        <v>189382.31</v>
      </c>
      <c r="D162" s="1541">
        <v>0</v>
      </c>
      <c r="E162" s="2593">
        <f t="shared" si="4"/>
        <v>189</v>
      </c>
      <c r="F162" s="2593">
        <f t="shared" si="4"/>
        <v>0</v>
      </c>
    </row>
    <row r="163" spans="1:11">
      <c r="A163" s="2591">
        <v>501006001</v>
      </c>
      <c r="B163" s="852" t="s">
        <v>2257</v>
      </c>
      <c r="C163" s="1541">
        <v>165287.93</v>
      </c>
      <c r="D163" s="1541">
        <v>0</v>
      </c>
      <c r="E163" s="2593">
        <f t="shared" si="4"/>
        <v>165</v>
      </c>
      <c r="F163" s="2593">
        <f t="shared" si="4"/>
        <v>0</v>
      </c>
    </row>
    <row r="164" spans="1:11">
      <c r="A164" s="2591">
        <v>50200100001</v>
      </c>
      <c r="B164" s="852" t="s">
        <v>532</v>
      </c>
      <c r="C164" s="1541">
        <v>1140310.6400000001</v>
      </c>
      <c r="D164" s="1541">
        <v>0</v>
      </c>
      <c r="E164" s="2593">
        <f t="shared" si="4"/>
        <v>1140</v>
      </c>
      <c r="F164" s="2593">
        <f t="shared" si="4"/>
        <v>0</v>
      </c>
      <c r="J164" s="2263" t="e">
        <f>ROUND(SUM(C162+#REF!+C164)/1000,0)</f>
        <v>#REF!</v>
      </c>
    </row>
    <row r="165" spans="1:11">
      <c r="A165" s="2591">
        <v>50200100002</v>
      </c>
      <c r="B165" s="852" t="s">
        <v>534</v>
      </c>
      <c r="C165" s="1541">
        <v>21280</v>
      </c>
      <c r="D165" s="1541">
        <v>0</v>
      </c>
      <c r="E165" s="2593">
        <f t="shared" si="4"/>
        <v>21</v>
      </c>
      <c r="F165" s="2593">
        <f t="shared" si="4"/>
        <v>0</v>
      </c>
    </row>
    <row r="166" spans="1:11">
      <c r="A166" s="2591">
        <v>50200300001</v>
      </c>
      <c r="B166" s="852" t="s">
        <v>536</v>
      </c>
      <c r="C166" s="1541">
        <v>78583</v>
      </c>
      <c r="D166" s="1541">
        <v>0</v>
      </c>
      <c r="E166" s="2593">
        <f t="shared" si="4"/>
        <v>79</v>
      </c>
      <c r="F166" s="2593">
        <f t="shared" si="4"/>
        <v>0</v>
      </c>
      <c r="J166" s="2265">
        <f>ROUND(C166/1000,0)</f>
        <v>79</v>
      </c>
    </row>
    <row r="167" spans="1:11">
      <c r="A167" s="2591">
        <v>50200300002</v>
      </c>
      <c r="B167" s="852" t="s">
        <v>538</v>
      </c>
      <c r="C167" s="1541">
        <v>109012</v>
      </c>
      <c r="D167" s="1541">
        <v>0</v>
      </c>
      <c r="E167" s="2593">
        <f t="shared" si="4"/>
        <v>109</v>
      </c>
      <c r="F167" s="2593">
        <f t="shared" si="4"/>
        <v>0</v>
      </c>
      <c r="J167" s="2263">
        <f>ROUND(C167/1000,0)</f>
        <v>109</v>
      </c>
    </row>
    <row r="168" spans="1:11">
      <c r="A168" s="2591">
        <v>5020050001</v>
      </c>
      <c r="B168" s="852" t="s">
        <v>608</v>
      </c>
      <c r="C168" s="1541">
        <v>6.94</v>
      </c>
      <c r="D168" s="1541">
        <v>0</v>
      </c>
      <c r="E168" s="2593">
        <f t="shared" si="4"/>
        <v>0</v>
      </c>
      <c r="F168" s="2593">
        <f t="shared" si="4"/>
        <v>0</v>
      </c>
      <c r="J168" s="2263">
        <f>ROUND(C168/1000,0)</f>
        <v>0</v>
      </c>
    </row>
    <row r="169" spans="1:11">
      <c r="A169" s="2591">
        <v>50500100001</v>
      </c>
      <c r="B169" s="852" t="s">
        <v>642</v>
      </c>
      <c r="C169" s="1541">
        <v>0.23</v>
      </c>
      <c r="D169" s="1541">
        <v>0</v>
      </c>
      <c r="E169" s="2593">
        <f t="shared" si="4"/>
        <v>0</v>
      </c>
      <c r="F169" s="2593">
        <f t="shared" si="4"/>
        <v>0</v>
      </c>
    </row>
    <row r="170" spans="1:11">
      <c r="A170" s="2591">
        <v>50500100002</v>
      </c>
      <c r="B170" s="852" t="s">
        <v>644</v>
      </c>
      <c r="C170" s="1541">
        <v>0</v>
      </c>
      <c r="D170" s="1541">
        <v>9433623</v>
      </c>
      <c r="E170" s="2593">
        <f t="shared" si="4"/>
        <v>0</v>
      </c>
      <c r="F170" s="2593">
        <f t="shared" si="4"/>
        <v>9434</v>
      </c>
      <c r="J170" s="2263">
        <f>ROUND(SUM(C169:C171)/1000,0)</f>
        <v>145</v>
      </c>
    </row>
    <row r="171" spans="1:11">
      <c r="A171" s="2591">
        <v>50600100001</v>
      </c>
      <c r="B171" s="852" t="s">
        <v>628</v>
      </c>
      <c r="C171" s="1541">
        <v>145229.36000000002</v>
      </c>
      <c r="D171" s="1541">
        <v>0</v>
      </c>
      <c r="E171" s="2593">
        <f t="shared" si="4"/>
        <v>145</v>
      </c>
      <c r="F171" s="2593">
        <f t="shared" si="4"/>
        <v>0</v>
      </c>
    </row>
    <row r="172" spans="1:11">
      <c r="A172" s="2591">
        <v>50600200001</v>
      </c>
      <c r="B172" s="852" t="s">
        <v>542</v>
      </c>
      <c r="C172" s="1541">
        <v>434596.60000000003</v>
      </c>
      <c r="D172" s="1541">
        <v>0</v>
      </c>
      <c r="E172" s="2593">
        <f t="shared" si="4"/>
        <v>435</v>
      </c>
      <c r="F172" s="2593">
        <f t="shared" si="4"/>
        <v>0</v>
      </c>
      <c r="J172" s="2265">
        <f>ROUND(C172/1000,0)</f>
        <v>435</v>
      </c>
    </row>
    <row r="173" spans="1:11">
      <c r="A173" s="2591">
        <v>50600300006</v>
      </c>
      <c r="B173" s="852" t="s">
        <v>595</v>
      </c>
      <c r="C173" s="1541">
        <v>206729.52000000002</v>
      </c>
      <c r="D173" s="1541">
        <v>0</v>
      </c>
      <c r="E173" s="2593">
        <f t="shared" si="4"/>
        <v>207</v>
      </c>
      <c r="F173" s="2593">
        <f t="shared" si="4"/>
        <v>0</v>
      </c>
      <c r="K173" s="2427">
        <f>SUM(E173:E177)</f>
        <v>244</v>
      </c>
    </row>
    <row r="174" spans="1:11">
      <c r="A174" s="2591">
        <v>50600300009</v>
      </c>
      <c r="B174" s="852" t="s">
        <v>599</v>
      </c>
      <c r="C174" s="1541">
        <v>6931.28</v>
      </c>
      <c r="D174" s="1541">
        <v>0</v>
      </c>
      <c r="E174" s="2593">
        <f t="shared" si="4"/>
        <v>7</v>
      </c>
      <c r="F174" s="2593">
        <f t="shared" si="4"/>
        <v>0</v>
      </c>
    </row>
    <row r="175" spans="1:11">
      <c r="A175" s="2591">
        <v>50700100001</v>
      </c>
      <c r="B175" s="852" t="s">
        <v>617</v>
      </c>
      <c r="C175" s="1541">
        <v>27813.24</v>
      </c>
      <c r="D175" s="1541">
        <v>0</v>
      </c>
      <c r="E175" s="2593">
        <f t="shared" si="4"/>
        <v>28</v>
      </c>
      <c r="F175" s="2593">
        <f t="shared" si="4"/>
        <v>0</v>
      </c>
    </row>
    <row r="176" spans="1:11" ht="16.5" thickBot="1">
      <c r="A176" s="2591">
        <v>51000100001</v>
      </c>
      <c r="B176" s="852" t="s">
        <v>553</v>
      </c>
      <c r="C176" s="1541">
        <v>691</v>
      </c>
      <c r="D176" s="1541">
        <v>0</v>
      </c>
      <c r="E176" s="2593">
        <f t="shared" si="4"/>
        <v>1</v>
      </c>
      <c r="F176" s="2593">
        <f t="shared" si="4"/>
        <v>0</v>
      </c>
      <c r="H176" s="2820">
        <f>SUM(E176:E181)</f>
        <v>57</v>
      </c>
    </row>
    <row r="177" spans="1:6" ht="16.5" thickTop="1">
      <c r="A177" s="2591">
        <v>51000100008</v>
      </c>
      <c r="B177" s="852" t="s">
        <v>559</v>
      </c>
      <c r="C177" s="1541">
        <v>1159</v>
      </c>
      <c r="D177" s="1541">
        <v>0</v>
      </c>
      <c r="E177" s="2593">
        <f t="shared" si="4"/>
        <v>1</v>
      </c>
      <c r="F177" s="2593">
        <f t="shared" si="4"/>
        <v>0</v>
      </c>
    </row>
    <row r="178" spans="1:6">
      <c r="A178" s="2591">
        <v>51000100009</v>
      </c>
      <c r="B178" s="852" t="s">
        <v>561</v>
      </c>
      <c r="C178" s="1541">
        <v>50205</v>
      </c>
      <c r="D178" s="1541">
        <v>0</v>
      </c>
      <c r="E178" s="2593">
        <f t="shared" ref="E178:F181" si="5">ROUND(C178/1000,0)</f>
        <v>50</v>
      </c>
      <c r="F178" s="2593">
        <f t="shared" si="5"/>
        <v>0</v>
      </c>
    </row>
    <row r="179" spans="1:6">
      <c r="A179" s="2591">
        <v>51000100010</v>
      </c>
      <c r="B179" s="852" t="s">
        <v>563</v>
      </c>
      <c r="C179" s="1541">
        <v>4951</v>
      </c>
      <c r="D179" s="1541">
        <v>0</v>
      </c>
      <c r="E179" s="2593">
        <f t="shared" si="5"/>
        <v>5</v>
      </c>
      <c r="F179" s="2593">
        <f t="shared" si="5"/>
        <v>0</v>
      </c>
    </row>
    <row r="180" spans="1:6">
      <c r="A180" s="2591">
        <v>51000100017</v>
      </c>
      <c r="B180" s="852" t="s">
        <v>569</v>
      </c>
      <c r="C180" s="1541">
        <v>277</v>
      </c>
      <c r="D180" s="1541">
        <v>0</v>
      </c>
      <c r="E180" s="2593">
        <f t="shared" si="5"/>
        <v>0</v>
      </c>
      <c r="F180" s="2593">
        <f t="shared" si="5"/>
        <v>0</v>
      </c>
    </row>
    <row r="181" spans="1:6">
      <c r="A181" s="2591">
        <v>51000100023</v>
      </c>
      <c r="B181" s="852" t="s">
        <v>577</v>
      </c>
      <c r="C181" s="1541">
        <v>257</v>
      </c>
      <c r="D181" s="1541">
        <v>0</v>
      </c>
      <c r="E181" s="2593">
        <f t="shared" si="5"/>
        <v>0</v>
      </c>
      <c r="F181" s="2593">
        <f t="shared" si="5"/>
        <v>0</v>
      </c>
    </row>
    <row r="182" spans="1:6">
      <c r="A182" s="2264"/>
    </row>
    <row r="183" spans="1:6">
      <c r="C183" s="2262">
        <f>SUM(C3:C177)</f>
        <v>1272442428.28</v>
      </c>
      <c r="D183" s="2262">
        <f>SUM(D3:D177)</f>
        <v>1272498117.1899998</v>
      </c>
    </row>
    <row r="185" spans="1:6">
      <c r="C185" s="2441">
        <f>C183-D183</f>
        <v>-55688.909999847412</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5"/>
  <sheetViews>
    <sheetView showGridLines="0" zoomScaleNormal="100" workbookViewId="0">
      <pane xSplit="5" ySplit="2" topLeftCell="F180" activePane="bottomRight" state="frozen"/>
      <selection activeCell="A11" sqref="A3:X29"/>
      <selection pane="topRight" activeCell="A11" sqref="A3:X29"/>
      <selection pane="bottomLeft" activeCell="A11" sqref="A3:X29"/>
      <selection pane="bottomRight" activeCell="Q395" sqref="Q395"/>
    </sheetView>
  </sheetViews>
  <sheetFormatPr defaultColWidth="9" defaultRowHeight="10.5" outlineLevelRow="2" outlineLevelCol="1"/>
  <cols>
    <col min="1" max="1" width="54.25" style="1" hidden="1" customWidth="1"/>
    <col min="2" max="2" width="8.25" style="16" hidden="1" customWidth="1" outlineLevel="1"/>
    <col min="3" max="3" width="16.25" style="16" hidden="1" customWidth="1" outlineLevel="1"/>
    <col min="4" max="4" width="13.25" style="18" customWidth="1" collapsed="1"/>
    <col min="5" max="5" width="67" style="1" customWidth="1"/>
    <col min="6" max="6" width="12.375" style="1" customWidth="1"/>
    <col min="7" max="7" width="4.5" style="1" customWidth="1"/>
    <col min="8" max="8" width="9.375" style="1" hidden="1" customWidth="1" outlineLevel="1"/>
    <col min="9" max="9" width="12" style="1" hidden="1" customWidth="1" outlineLevel="1"/>
    <col min="10" max="10" width="9.375" style="1" hidden="1" customWidth="1" outlineLevel="1"/>
    <col min="11" max="11" width="12" style="1" customWidth="1" collapsed="1"/>
    <col min="12" max="12" width="4.25" style="1" customWidth="1"/>
    <col min="13" max="13" width="12" style="1" customWidth="1"/>
    <col min="14" max="14" width="14.75" style="5" customWidth="1"/>
    <col min="15" max="15" width="12" style="4" customWidth="1"/>
    <col min="16" max="16384" width="9" style="2"/>
  </cols>
  <sheetData>
    <row r="1" spans="1:15" s="21" customFormat="1">
      <c r="N1" s="503" t="s">
        <v>0</v>
      </c>
      <c r="O1" s="502" t="s">
        <v>1</v>
      </c>
    </row>
    <row r="2" spans="1:15" s="11" customFormat="1">
      <c r="A2" s="11" t="s">
        <v>1070</v>
      </c>
      <c r="B2" s="11" t="s">
        <v>2</v>
      </c>
      <c r="C2" s="11" t="s">
        <v>3</v>
      </c>
      <c r="D2" s="11" t="s">
        <v>4</v>
      </c>
      <c r="E2" s="11" t="s">
        <v>5</v>
      </c>
      <c r="F2" s="11" t="s">
        <v>6</v>
      </c>
      <c r="G2" s="11" t="s">
        <v>7</v>
      </c>
      <c r="H2" s="11" t="s">
        <v>8</v>
      </c>
      <c r="I2" s="11" t="s">
        <v>9</v>
      </c>
      <c r="J2" s="11" t="s">
        <v>10</v>
      </c>
      <c r="K2" s="478" t="s">
        <v>1530</v>
      </c>
      <c r="L2" s="11" t="s">
        <v>7</v>
      </c>
      <c r="M2" s="478" t="s">
        <v>896</v>
      </c>
      <c r="N2" s="12"/>
      <c r="O2" s="13"/>
    </row>
    <row r="3" spans="1:15" s="3" customFormat="1" ht="10.5" customHeight="1" outlineLevel="2">
      <c r="A3" s="3" t="s">
        <v>11</v>
      </c>
      <c r="B3" s="15" t="s">
        <v>1075</v>
      </c>
      <c r="C3" s="15" t="s">
        <v>1076</v>
      </c>
      <c r="D3" s="17" t="s">
        <v>1127</v>
      </c>
      <c r="E3" s="504" t="s">
        <v>12</v>
      </c>
      <c r="F3" s="6">
        <v>5180</v>
      </c>
      <c r="G3" s="7"/>
      <c r="H3" s="6">
        <v>0</v>
      </c>
      <c r="I3" s="6">
        <v>5180</v>
      </c>
      <c r="J3" s="6">
        <v>0</v>
      </c>
      <c r="K3" s="6">
        <f>IFERROR(ROUND(VLOOKUP(D3,#REF!,3,FALSE),0)/1000,0)</f>
        <v>0</v>
      </c>
      <c r="L3" s="7"/>
      <c r="M3" s="6">
        <v>63374</v>
      </c>
      <c r="N3" s="8">
        <v>-0.91826301006722</v>
      </c>
      <c r="O3" s="9">
        <v>-58194</v>
      </c>
    </row>
    <row r="4" spans="1:15" s="3" customFormat="1" ht="10.5" customHeight="1" outlineLevel="2">
      <c r="A4" s="3" t="s">
        <v>13</v>
      </c>
      <c r="B4" s="15" t="s">
        <v>1075</v>
      </c>
      <c r="C4" s="15" t="s">
        <v>1076</v>
      </c>
      <c r="D4" s="17" t="s">
        <v>1128</v>
      </c>
      <c r="E4" s="504" t="s">
        <v>14</v>
      </c>
      <c r="F4" s="6">
        <v>1198</v>
      </c>
      <c r="G4" s="7"/>
      <c r="H4" s="6">
        <v>0</v>
      </c>
      <c r="I4" s="6">
        <v>1198</v>
      </c>
      <c r="J4" s="6">
        <v>0</v>
      </c>
      <c r="K4" s="6">
        <f>IFERROR(ROUND(VLOOKUP(D4,#REF!,3,FALSE),0)/1000,0)</f>
        <v>0</v>
      </c>
      <c r="L4" s="7"/>
      <c r="M4" s="6">
        <v>21083</v>
      </c>
      <c r="N4" s="8">
        <v>-0.94317696722477828</v>
      </c>
      <c r="O4" s="9">
        <v>-19885</v>
      </c>
    </row>
    <row r="5" spans="1:15" s="3" customFormat="1" ht="10.5" customHeight="1" outlineLevel="2">
      <c r="A5" s="3" t="s">
        <v>15</v>
      </c>
      <c r="B5" s="15" t="s">
        <v>1075</v>
      </c>
      <c r="C5" s="15" t="s">
        <v>1076</v>
      </c>
      <c r="D5" s="17" t="s">
        <v>1129</v>
      </c>
      <c r="E5" s="504" t="s">
        <v>16</v>
      </c>
      <c r="F5" s="6">
        <v>8</v>
      </c>
      <c r="G5" s="7"/>
      <c r="H5" s="6">
        <v>0</v>
      </c>
      <c r="I5" s="6">
        <v>8</v>
      </c>
      <c r="J5" s="6">
        <v>0</v>
      </c>
      <c r="K5" s="6">
        <f>IFERROR(ROUND(VLOOKUP(D5,#REF!,3,FALSE),0)/1000,0)</f>
        <v>0</v>
      </c>
      <c r="L5" s="7"/>
      <c r="M5" s="6">
        <v>10</v>
      </c>
      <c r="N5" s="8">
        <v>-0.2</v>
      </c>
      <c r="O5" s="9">
        <v>-2</v>
      </c>
    </row>
    <row r="6" spans="1:15" s="3" customFormat="1" ht="10.5" customHeight="1" outlineLevel="2">
      <c r="A6" s="3" t="s">
        <v>17</v>
      </c>
      <c r="B6" s="15" t="s">
        <v>1075</v>
      </c>
      <c r="C6" s="15" t="s">
        <v>1076</v>
      </c>
      <c r="D6" s="17" t="s">
        <v>1130</v>
      </c>
      <c r="E6" s="504" t="s">
        <v>18</v>
      </c>
      <c r="F6" s="6">
        <v>1544</v>
      </c>
      <c r="G6" s="7"/>
      <c r="H6" s="6">
        <v>0</v>
      </c>
      <c r="I6" s="6">
        <v>1544</v>
      </c>
      <c r="J6" s="6">
        <v>0</v>
      </c>
      <c r="K6" s="6">
        <f>IFERROR(ROUND(VLOOKUP(D6,#REF!,3,FALSE),0)/1000,0)</f>
        <v>0</v>
      </c>
      <c r="L6" s="7"/>
      <c r="M6" s="6">
        <v>15505</v>
      </c>
      <c r="N6" s="8">
        <v>-0.90041921960657856</v>
      </c>
      <c r="O6" s="9">
        <v>-13961</v>
      </c>
    </row>
    <row r="7" spans="1:15" s="3" customFormat="1" ht="10.5" customHeight="1" outlineLevel="2">
      <c r="A7" s="3" t="s">
        <v>19</v>
      </c>
      <c r="B7" s="15" t="s">
        <v>1075</v>
      </c>
      <c r="C7" s="15" t="s">
        <v>1076</v>
      </c>
      <c r="D7" s="17" t="s">
        <v>1131</v>
      </c>
      <c r="E7" s="504" t="s">
        <v>20</v>
      </c>
      <c r="F7" s="6">
        <v>1201</v>
      </c>
      <c r="G7" s="7"/>
      <c r="H7" s="6">
        <v>0</v>
      </c>
      <c r="I7" s="6">
        <v>1201</v>
      </c>
      <c r="J7" s="6">
        <v>0</v>
      </c>
      <c r="K7" s="6">
        <f>IFERROR(ROUND(VLOOKUP(D7,#REF!,3,FALSE),0)/1000,0)</f>
        <v>0</v>
      </c>
      <c r="L7" s="7"/>
      <c r="M7" s="6">
        <v>2442</v>
      </c>
      <c r="N7" s="8">
        <v>-0.50819000819000815</v>
      </c>
      <c r="O7" s="9">
        <v>-1241</v>
      </c>
    </row>
    <row r="8" spans="1:15" s="3" customFormat="1" ht="10.5" customHeight="1" outlineLevel="2">
      <c r="A8" s="3" t="s">
        <v>21</v>
      </c>
      <c r="B8" s="15" t="s">
        <v>1075</v>
      </c>
      <c r="C8" s="15" t="s">
        <v>1076</v>
      </c>
      <c r="D8" s="17" t="s">
        <v>1132</v>
      </c>
      <c r="E8" s="504" t="s">
        <v>22</v>
      </c>
      <c r="F8" s="6">
        <v>9</v>
      </c>
      <c r="G8" s="7"/>
      <c r="H8" s="6">
        <v>0</v>
      </c>
      <c r="I8" s="6">
        <v>9</v>
      </c>
      <c r="J8" s="6">
        <v>0</v>
      </c>
      <c r="K8" s="6">
        <f>IFERROR(ROUND(VLOOKUP(D8,#REF!,3,FALSE),0)/1000,0)</f>
        <v>0</v>
      </c>
      <c r="L8" s="7"/>
      <c r="M8" s="6">
        <v>34</v>
      </c>
      <c r="N8" s="8">
        <v>-0.73529411764705888</v>
      </c>
      <c r="O8" s="9">
        <v>-25</v>
      </c>
    </row>
    <row r="9" spans="1:15" s="3" customFormat="1" ht="10.5" customHeight="1" outlineLevel="2">
      <c r="A9" s="3" t="s">
        <v>23</v>
      </c>
      <c r="B9" s="15" t="s">
        <v>1075</v>
      </c>
      <c r="C9" s="15" t="s">
        <v>1076</v>
      </c>
      <c r="D9" s="17" t="s">
        <v>1133</v>
      </c>
      <c r="E9" s="504" t="s">
        <v>24</v>
      </c>
      <c r="F9" s="6">
        <v>11</v>
      </c>
      <c r="G9" s="7"/>
      <c r="H9" s="6">
        <v>0</v>
      </c>
      <c r="I9" s="6">
        <v>11</v>
      </c>
      <c r="J9" s="6">
        <v>0</v>
      </c>
      <c r="K9" s="6">
        <f>IFERROR(ROUND(VLOOKUP(D9,#REF!,3,FALSE),0)/1000,0)</f>
        <v>0</v>
      </c>
      <c r="L9" s="7"/>
      <c r="M9" s="6">
        <v>11</v>
      </c>
      <c r="N9" s="8">
        <v>0</v>
      </c>
      <c r="O9" s="9">
        <v>0</v>
      </c>
    </row>
    <row r="10" spans="1:15" s="3" customFormat="1" ht="10.5" customHeight="1" outlineLevel="2">
      <c r="A10" s="3" t="s">
        <v>25</v>
      </c>
      <c r="B10" s="15" t="s">
        <v>1075</v>
      </c>
      <c r="C10" s="15" t="s">
        <v>1076</v>
      </c>
      <c r="D10" s="17" t="s">
        <v>1134</v>
      </c>
      <c r="E10" s="504" t="s">
        <v>26</v>
      </c>
      <c r="F10" s="6">
        <v>0</v>
      </c>
      <c r="G10" s="7"/>
      <c r="H10" s="6">
        <v>0</v>
      </c>
      <c r="I10" s="6">
        <v>0</v>
      </c>
      <c r="J10" s="6">
        <v>0</v>
      </c>
      <c r="K10" s="6">
        <f>IFERROR(ROUND(VLOOKUP(D10,#REF!,3,FALSE),0)/1000,0)</f>
        <v>0</v>
      </c>
      <c r="L10" s="7"/>
      <c r="M10" s="6">
        <v>12</v>
      </c>
      <c r="N10" s="8">
        <v>-1</v>
      </c>
      <c r="O10" s="9">
        <v>-12</v>
      </c>
    </row>
    <row r="11" spans="1:15" s="3" customFormat="1" ht="10.5" customHeight="1" outlineLevel="2">
      <c r="A11" s="3" t="s">
        <v>27</v>
      </c>
      <c r="B11" s="15" t="s">
        <v>1075</v>
      </c>
      <c r="C11" s="15" t="s">
        <v>1076</v>
      </c>
      <c r="D11" s="17" t="s">
        <v>1135</v>
      </c>
      <c r="E11" s="504" t="s">
        <v>28</v>
      </c>
      <c r="F11" s="6">
        <v>1346</v>
      </c>
      <c r="G11" s="7"/>
      <c r="H11" s="6">
        <v>0</v>
      </c>
      <c r="I11" s="6">
        <v>1346</v>
      </c>
      <c r="J11" s="6">
        <v>0</v>
      </c>
      <c r="K11" s="6">
        <f>IFERROR(ROUND(VLOOKUP(D11,#REF!,3,FALSE),0)/1000,0)</f>
        <v>0</v>
      </c>
      <c r="L11" s="7"/>
      <c r="M11" s="6">
        <v>22</v>
      </c>
      <c r="N11" s="8">
        <v>60.18181818181818</v>
      </c>
      <c r="O11" s="9">
        <v>1324</v>
      </c>
    </row>
    <row r="12" spans="1:15" s="3" customFormat="1" ht="10.5" customHeight="1" outlineLevel="2">
      <c r="A12" s="3" t="s">
        <v>29</v>
      </c>
      <c r="B12" s="15" t="s">
        <v>1075</v>
      </c>
      <c r="C12" s="15" t="s">
        <v>1076</v>
      </c>
      <c r="D12" s="17" t="s">
        <v>1136</v>
      </c>
      <c r="E12" s="504" t="s">
        <v>30</v>
      </c>
      <c r="F12" s="6">
        <v>1579</v>
      </c>
      <c r="G12" s="7"/>
      <c r="H12" s="6">
        <v>0</v>
      </c>
      <c r="I12" s="6">
        <v>1579</v>
      </c>
      <c r="J12" s="6">
        <v>0</v>
      </c>
      <c r="K12" s="6">
        <f>IFERROR(ROUND(VLOOKUP(D12,#REF!,3,FALSE),0)/1000,0)</f>
        <v>0</v>
      </c>
      <c r="L12" s="7"/>
      <c r="M12" s="6">
        <v>103</v>
      </c>
      <c r="N12" s="8">
        <v>14.330097087378642</v>
      </c>
      <c r="O12" s="9">
        <v>1476</v>
      </c>
    </row>
    <row r="13" spans="1:15" s="3" customFormat="1" ht="10.5" customHeight="1" outlineLevel="2">
      <c r="A13" s="3" t="s">
        <v>31</v>
      </c>
      <c r="B13" s="15" t="s">
        <v>1075</v>
      </c>
      <c r="C13" s="15" t="s">
        <v>1076</v>
      </c>
      <c r="D13" s="17" t="s">
        <v>1137</v>
      </c>
      <c r="E13" s="504" t="s">
        <v>32</v>
      </c>
      <c r="F13" s="6">
        <v>5</v>
      </c>
      <c r="G13" s="7"/>
      <c r="H13" s="6">
        <v>0</v>
      </c>
      <c r="I13" s="6">
        <v>5</v>
      </c>
      <c r="J13" s="6">
        <v>0</v>
      </c>
      <c r="K13" s="6">
        <f>IFERROR(ROUND(VLOOKUP(D13,#REF!,3,FALSE),0)/1000,0)</f>
        <v>0</v>
      </c>
      <c r="L13" s="7"/>
      <c r="M13" s="6">
        <v>5</v>
      </c>
      <c r="N13" s="8">
        <v>0</v>
      </c>
      <c r="O13" s="9">
        <v>0</v>
      </c>
    </row>
    <row r="14" spans="1:15" s="3" customFormat="1" ht="10.5" customHeight="1" outlineLevel="2">
      <c r="A14" s="3" t="s">
        <v>33</v>
      </c>
      <c r="B14" s="15" t="s">
        <v>1075</v>
      </c>
      <c r="C14" s="15" t="s">
        <v>1076</v>
      </c>
      <c r="D14" s="17" t="s">
        <v>1138</v>
      </c>
      <c r="E14" s="504" t="s">
        <v>34</v>
      </c>
      <c r="F14" s="6">
        <v>6</v>
      </c>
      <c r="G14" s="7"/>
      <c r="H14" s="6">
        <v>0</v>
      </c>
      <c r="I14" s="6">
        <v>6</v>
      </c>
      <c r="J14" s="6">
        <v>0</v>
      </c>
      <c r="K14" s="6">
        <f>IFERROR(ROUND(VLOOKUP(D14,#REF!,3,FALSE),0)/1000,0)</f>
        <v>0</v>
      </c>
      <c r="L14" s="7"/>
      <c r="M14" s="6">
        <v>47</v>
      </c>
      <c r="N14" s="8">
        <v>-0.87234042553191493</v>
      </c>
      <c r="O14" s="9">
        <v>-41</v>
      </c>
    </row>
    <row r="15" spans="1:15" s="3" customFormat="1" ht="10.5" customHeight="1" outlineLevel="2">
      <c r="A15" s="3" t="s">
        <v>35</v>
      </c>
      <c r="B15" s="15" t="s">
        <v>1075</v>
      </c>
      <c r="C15" s="15" t="s">
        <v>1076</v>
      </c>
      <c r="D15" s="17" t="s">
        <v>1139</v>
      </c>
      <c r="E15" s="504" t="s">
        <v>36</v>
      </c>
      <c r="F15" s="6">
        <v>175</v>
      </c>
      <c r="G15" s="7"/>
      <c r="H15" s="6">
        <v>0</v>
      </c>
      <c r="I15" s="6">
        <v>175</v>
      </c>
      <c r="J15" s="6">
        <v>0</v>
      </c>
      <c r="K15" s="6">
        <f>IFERROR(ROUND(VLOOKUP(D15,#REF!,3,FALSE),0)/1000,0)</f>
        <v>0</v>
      </c>
      <c r="L15" s="7"/>
      <c r="M15" s="6">
        <v>470045</v>
      </c>
      <c r="N15" s="8">
        <v>-0.99962769522067041</v>
      </c>
      <c r="O15" s="9">
        <v>-469870</v>
      </c>
    </row>
    <row r="16" spans="1:15" s="3" customFormat="1" ht="10.5" customHeight="1" outlineLevel="2">
      <c r="A16" s="3" t="s">
        <v>37</v>
      </c>
      <c r="B16" s="15" t="s">
        <v>1075</v>
      </c>
      <c r="C16" s="15" t="s">
        <v>1076</v>
      </c>
      <c r="D16" s="17" t="s">
        <v>1140</v>
      </c>
      <c r="E16" s="504" t="s">
        <v>38</v>
      </c>
      <c r="F16" s="6">
        <v>3</v>
      </c>
      <c r="G16" s="7"/>
      <c r="H16" s="6">
        <v>0</v>
      </c>
      <c r="I16" s="6">
        <v>3</v>
      </c>
      <c r="J16" s="6">
        <v>0</v>
      </c>
      <c r="K16" s="6">
        <f>IFERROR(ROUND(VLOOKUP(D16,#REF!,3,FALSE),0)/1000,0)</f>
        <v>0</v>
      </c>
      <c r="L16" s="7"/>
      <c r="M16" s="6">
        <v>68877</v>
      </c>
      <c r="N16" s="8">
        <v>-0.99995644409599727</v>
      </c>
      <c r="O16" s="9">
        <v>-68874</v>
      </c>
    </row>
    <row r="17" spans="1:15" s="3" customFormat="1" ht="10.5" customHeight="1" outlineLevel="2">
      <c r="A17" s="3" t="s">
        <v>39</v>
      </c>
      <c r="B17" s="15" t="s">
        <v>1075</v>
      </c>
      <c r="C17" s="15" t="s">
        <v>1076</v>
      </c>
      <c r="D17" s="17" t="s">
        <v>1141</v>
      </c>
      <c r="E17" s="504" t="s">
        <v>40</v>
      </c>
      <c r="F17" s="6">
        <v>6</v>
      </c>
      <c r="G17" s="7"/>
      <c r="H17" s="6">
        <v>0</v>
      </c>
      <c r="I17" s="6">
        <v>6</v>
      </c>
      <c r="J17" s="6">
        <v>0</v>
      </c>
      <c r="K17" s="6">
        <f>IFERROR(ROUND(VLOOKUP(D17,#REF!,3,FALSE),0)/1000,0)</f>
        <v>0</v>
      </c>
      <c r="L17" s="7"/>
      <c r="M17" s="6">
        <v>6</v>
      </c>
      <c r="N17" s="8">
        <v>0</v>
      </c>
      <c r="O17" s="9">
        <v>0</v>
      </c>
    </row>
    <row r="18" spans="1:15" s="3" customFormat="1" ht="10.5" customHeight="1" outlineLevel="2">
      <c r="A18" s="3" t="s">
        <v>41</v>
      </c>
      <c r="B18" s="15" t="s">
        <v>1075</v>
      </c>
      <c r="C18" s="15" t="s">
        <v>1076</v>
      </c>
      <c r="D18" s="17" t="s">
        <v>1142</v>
      </c>
      <c r="E18" s="504" t="s">
        <v>42</v>
      </c>
      <c r="F18" s="6">
        <v>141344</v>
      </c>
      <c r="G18" s="7"/>
      <c r="H18" s="6">
        <v>0</v>
      </c>
      <c r="I18" s="6">
        <v>141344</v>
      </c>
      <c r="J18" s="6">
        <v>0</v>
      </c>
      <c r="K18" s="6">
        <f>IFERROR(ROUND(VLOOKUP(D18,#REF!,3,FALSE),0)/1000,0)</f>
        <v>0</v>
      </c>
      <c r="L18" s="7"/>
      <c r="M18" s="6">
        <v>847</v>
      </c>
      <c r="N18" s="8">
        <v>165.87603305785123</v>
      </c>
      <c r="O18" s="9">
        <v>140497</v>
      </c>
    </row>
    <row r="19" spans="1:15" s="3" customFormat="1" ht="10.5" customHeight="1" outlineLevel="2">
      <c r="A19" s="3" t="s">
        <v>43</v>
      </c>
      <c r="B19" s="15" t="s">
        <v>1075</v>
      </c>
      <c r="C19" s="15" t="s">
        <v>1076</v>
      </c>
      <c r="D19" s="17" t="s">
        <v>1143</v>
      </c>
      <c r="E19" s="504" t="s">
        <v>44</v>
      </c>
      <c r="F19" s="6">
        <v>12</v>
      </c>
      <c r="G19" s="7"/>
      <c r="H19" s="6">
        <v>0</v>
      </c>
      <c r="I19" s="6">
        <v>12</v>
      </c>
      <c r="J19" s="6">
        <v>0</v>
      </c>
      <c r="K19" s="6">
        <f>IFERROR(ROUND(VLOOKUP(D19,#REF!,3,FALSE),0)/1000,0)</f>
        <v>0</v>
      </c>
      <c r="L19" s="7"/>
      <c r="M19" s="6">
        <v>33</v>
      </c>
      <c r="N19" s="8">
        <v>-0.63636363636363635</v>
      </c>
      <c r="O19" s="9">
        <v>-21</v>
      </c>
    </row>
    <row r="20" spans="1:15" s="3" customFormat="1" ht="10.5" customHeight="1" outlineLevel="2">
      <c r="A20" s="3" t="s">
        <v>45</v>
      </c>
      <c r="B20" s="15" t="s">
        <v>1075</v>
      </c>
      <c r="C20" s="15" t="s">
        <v>1076</v>
      </c>
      <c r="D20" s="17" t="s">
        <v>1144</v>
      </c>
      <c r="E20" s="504" t="s">
        <v>46</v>
      </c>
      <c r="F20" s="6">
        <v>600</v>
      </c>
      <c r="G20" s="7"/>
      <c r="H20" s="6">
        <v>0</v>
      </c>
      <c r="I20" s="6">
        <v>600</v>
      </c>
      <c r="J20" s="6">
        <v>0</v>
      </c>
      <c r="K20" s="6">
        <f>IFERROR(ROUND(VLOOKUP(D20,#REF!,3,FALSE),0)/1000,0)</f>
        <v>0</v>
      </c>
      <c r="L20" s="7"/>
      <c r="M20" s="6">
        <v>5</v>
      </c>
      <c r="N20" s="8">
        <v>119</v>
      </c>
      <c r="O20" s="9">
        <v>595</v>
      </c>
    </row>
    <row r="21" spans="1:15" s="3" customFormat="1" ht="10.5" customHeight="1" outlineLevel="2">
      <c r="A21" s="3" t="s">
        <v>47</v>
      </c>
      <c r="B21" s="15" t="s">
        <v>1075</v>
      </c>
      <c r="C21" s="15" t="s">
        <v>1076</v>
      </c>
      <c r="D21" s="17" t="s">
        <v>1145</v>
      </c>
      <c r="E21" s="504" t="s">
        <v>48</v>
      </c>
      <c r="F21" s="6">
        <v>8</v>
      </c>
      <c r="G21" s="7"/>
      <c r="H21" s="6">
        <v>0</v>
      </c>
      <c r="I21" s="6">
        <v>8</v>
      </c>
      <c r="J21" s="6">
        <v>0</v>
      </c>
      <c r="K21" s="6">
        <f>IFERROR(ROUND(VLOOKUP(D21,#REF!,3,FALSE),0)/1000,0)</f>
        <v>0</v>
      </c>
      <c r="L21" s="7"/>
      <c r="M21" s="6">
        <v>8</v>
      </c>
      <c r="N21" s="8">
        <v>0</v>
      </c>
      <c r="O21" s="9">
        <v>0</v>
      </c>
    </row>
    <row r="22" spans="1:15" s="3" customFormat="1" ht="11.25" customHeight="1" outlineLevel="2" thickBot="1">
      <c r="A22" s="3" t="s">
        <v>49</v>
      </c>
      <c r="B22" s="15" t="s">
        <v>1075</v>
      </c>
      <c r="C22" s="15" t="s">
        <v>1076</v>
      </c>
      <c r="D22" s="17" t="s">
        <v>1146</v>
      </c>
      <c r="E22" s="504" t="s">
        <v>50</v>
      </c>
      <c r="F22" s="20">
        <v>4</v>
      </c>
      <c r="G22" s="14"/>
      <c r="H22" s="20">
        <v>0</v>
      </c>
      <c r="I22" s="20">
        <v>4</v>
      </c>
      <c r="J22" s="20">
        <v>0</v>
      </c>
      <c r="K22" s="6">
        <f>IFERROR(ROUND(VLOOKUP(D22,#REF!,3,FALSE),0)/1000,0)</f>
        <v>0</v>
      </c>
      <c r="L22" s="14"/>
      <c r="M22" s="20">
        <v>24</v>
      </c>
      <c r="N22" s="8">
        <v>-0.83333333333333337</v>
      </c>
      <c r="O22" s="9">
        <v>-20</v>
      </c>
    </row>
    <row r="23" spans="1:15" s="3" customFormat="1" ht="11.25" customHeight="1" outlineLevel="2" thickTop="1">
      <c r="A23" s="3" t="s">
        <v>1538</v>
      </c>
      <c r="B23" s="15" t="s">
        <v>1075</v>
      </c>
      <c r="C23" s="15" t="s">
        <v>1076</v>
      </c>
      <c r="D23" s="17" t="s">
        <v>1540</v>
      </c>
      <c r="E23" s="17" t="s">
        <v>1539</v>
      </c>
      <c r="F23" s="479">
        <v>125473</v>
      </c>
      <c r="G23" s="14"/>
      <c r="H23" s="479">
        <v>0</v>
      </c>
      <c r="I23" s="479">
        <v>125473</v>
      </c>
      <c r="J23" s="479">
        <v>0</v>
      </c>
      <c r="K23" s="6">
        <f>IFERROR(ROUND(VLOOKUP(D23,#REF!,3,FALSE),0)/1000,0)</f>
        <v>0</v>
      </c>
      <c r="L23" s="14"/>
      <c r="M23" s="479">
        <v>0</v>
      </c>
      <c r="N23" s="8" t="s">
        <v>739</v>
      </c>
      <c r="O23" s="9">
        <v>125473</v>
      </c>
    </row>
    <row r="24" spans="1:15" s="3" customFormat="1" ht="10.5" customHeight="1" outlineLevel="2">
      <c r="A24" s="3" t="s">
        <v>1541</v>
      </c>
      <c r="B24" s="15" t="s">
        <v>1075</v>
      </c>
      <c r="C24" s="15" t="s">
        <v>1076</v>
      </c>
      <c r="D24" s="17" t="s">
        <v>1543</v>
      </c>
      <c r="E24" s="17" t="s">
        <v>1542</v>
      </c>
      <c r="F24" s="6">
        <v>1826</v>
      </c>
      <c r="G24" s="14"/>
      <c r="H24" s="6">
        <v>0</v>
      </c>
      <c r="I24" s="6">
        <v>1826</v>
      </c>
      <c r="J24" s="6">
        <v>0</v>
      </c>
      <c r="K24" s="6">
        <f>IFERROR(ROUND(VLOOKUP(D24,#REF!,3,FALSE),0)/1000,0)</f>
        <v>0</v>
      </c>
      <c r="L24" s="14"/>
      <c r="M24" s="6">
        <v>0</v>
      </c>
      <c r="N24" s="8" t="s">
        <v>739</v>
      </c>
      <c r="O24" s="9">
        <v>1826</v>
      </c>
    </row>
    <row r="25" spans="1:15" s="3" customFormat="1" ht="10.5" customHeight="1" outlineLevel="2">
      <c r="A25" s="3" t="s">
        <v>1544</v>
      </c>
      <c r="B25" s="15" t="s">
        <v>1075</v>
      </c>
      <c r="C25" s="15" t="s">
        <v>1076</v>
      </c>
      <c r="D25" s="17" t="s">
        <v>1546</v>
      </c>
      <c r="E25" s="17" t="s">
        <v>1545</v>
      </c>
      <c r="F25" s="27">
        <v>364904</v>
      </c>
      <c r="G25" s="14"/>
      <c r="H25" s="27">
        <v>0</v>
      </c>
      <c r="I25" s="27">
        <v>364904</v>
      </c>
      <c r="J25" s="27">
        <v>0</v>
      </c>
      <c r="K25" s="6">
        <f>IFERROR(ROUND(VLOOKUP(D25,#REF!,3,FALSE),0)/1000,0)</f>
        <v>0</v>
      </c>
      <c r="L25" s="14"/>
      <c r="M25" s="27">
        <v>0</v>
      </c>
      <c r="N25" s="8" t="s">
        <v>739</v>
      </c>
      <c r="O25" s="9">
        <v>364904</v>
      </c>
    </row>
    <row r="26" spans="1:15" s="3" customFormat="1" ht="11.25" outlineLevel="1" thickBot="1">
      <c r="A26" s="3" t="s">
        <v>51</v>
      </c>
      <c r="B26" s="15" t="s">
        <v>1075</v>
      </c>
      <c r="C26" s="15" t="s">
        <v>1076</v>
      </c>
      <c r="D26" s="17" t="s">
        <v>1075</v>
      </c>
      <c r="E26" s="19" t="s">
        <v>52</v>
      </c>
      <c r="F26" s="31">
        <v>646442</v>
      </c>
      <c r="G26" s="7"/>
      <c r="H26" s="31">
        <v>0</v>
      </c>
      <c r="I26" s="31">
        <v>646442</v>
      </c>
      <c r="J26" s="31">
        <v>0</v>
      </c>
      <c r="K26" s="31">
        <f>SUM(K3:K25)</f>
        <v>0</v>
      </c>
      <c r="L26" s="7"/>
      <c r="M26" s="31">
        <v>642493</v>
      </c>
      <c r="N26" s="8">
        <v>6.146370466293018E-3</v>
      </c>
      <c r="O26" s="9">
        <v>3949</v>
      </c>
    </row>
    <row r="27" spans="1:15" s="3" customFormat="1" ht="11.25" outlineLevel="1" thickTop="1">
      <c r="A27" s="3" t="s">
        <v>53</v>
      </c>
      <c r="B27" s="15" t="s">
        <v>1075</v>
      </c>
      <c r="C27" s="15" t="s">
        <v>1075</v>
      </c>
      <c r="D27" s="17" t="s">
        <v>1075</v>
      </c>
      <c r="F27" s="6"/>
      <c r="G27" s="7"/>
      <c r="H27" s="6"/>
      <c r="I27" s="6"/>
      <c r="J27" s="6"/>
      <c r="K27" s="6"/>
      <c r="L27" s="7"/>
      <c r="M27" s="6"/>
      <c r="N27" s="8" t="s">
        <v>739</v>
      </c>
      <c r="O27" s="9" t="s">
        <v>739</v>
      </c>
    </row>
    <row r="28" spans="1:15" s="3" customFormat="1" ht="10.5" customHeight="1" outlineLevel="2">
      <c r="A28" s="3" t="s">
        <v>54</v>
      </c>
      <c r="B28" s="15" t="s">
        <v>1075</v>
      </c>
      <c r="C28" s="15" t="s">
        <v>1077</v>
      </c>
      <c r="D28" s="17" t="s">
        <v>1147</v>
      </c>
      <c r="E28" s="3" t="s">
        <v>55</v>
      </c>
      <c r="F28" s="6">
        <v>0</v>
      </c>
      <c r="G28" s="7"/>
      <c r="H28" s="6">
        <v>0</v>
      </c>
      <c r="I28" s="6">
        <v>0</v>
      </c>
      <c r="J28" s="6">
        <v>0</v>
      </c>
      <c r="K28" s="6">
        <f>IFERROR(ROUND(VLOOKUP(D28,#REF!,3,FALSE),4)/1000,0)</f>
        <v>0</v>
      </c>
      <c r="L28" s="7"/>
      <c r="M28" s="6">
        <v>66813</v>
      </c>
      <c r="N28" s="8">
        <v>-1</v>
      </c>
      <c r="O28" s="9">
        <v>-66813</v>
      </c>
    </row>
    <row r="29" spans="1:15" s="3" customFormat="1" ht="10.5" customHeight="1" outlineLevel="2">
      <c r="A29" s="3" t="s">
        <v>56</v>
      </c>
      <c r="B29" s="15" t="s">
        <v>1075</v>
      </c>
      <c r="C29" s="15" t="s">
        <v>1077</v>
      </c>
      <c r="D29" s="17" t="s">
        <v>1148</v>
      </c>
      <c r="E29" s="3" t="s">
        <v>57</v>
      </c>
      <c r="F29" s="6">
        <v>0</v>
      </c>
      <c r="G29" s="7"/>
      <c r="H29" s="6">
        <v>0</v>
      </c>
      <c r="I29" s="6">
        <v>0</v>
      </c>
      <c r="J29" s="6">
        <v>0</v>
      </c>
      <c r="K29" s="6">
        <f>IFERROR(ROUND(VLOOKUP(D29,#REF!,3,FALSE),4)/1000,0)</f>
        <v>0</v>
      </c>
      <c r="L29" s="7"/>
      <c r="M29" s="6">
        <v>0</v>
      </c>
      <c r="N29" s="8" t="s">
        <v>739</v>
      </c>
      <c r="O29" s="9">
        <v>0</v>
      </c>
    </row>
    <row r="30" spans="1:15" s="3" customFormat="1" ht="11.25" customHeight="1" outlineLevel="2" thickBot="1">
      <c r="A30" s="3" t="s">
        <v>58</v>
      </c>
      <c r="B30" s="15" t="s">
        <v>1075</v>
      </c>
      <c r="C30" s="15" t="s">
        <v>1077</v>
      </c>
      <c r="D30" s="17" t="s">
        <v>1149</v>
      </c>
      <c r="E30" s="3" t="s">
        <v>59</v>
      </c>
      <c r="F30" s="20">
        <v>0</v>
      </c>
      <c r="G30" s="14"/>
      <c r="H30" s="20">
        <v>0</v>
      </c>
      <c r="I30" s="20">
        <v>0</v>
      </c>
      <c r="J30" s="20">
        <v>0</v>
      </c>
      <c r="K30" s="6">
        <f>IFERROR(ROUND(VLOOKUP(D30,#REF!,3,FALSE),4)/1000,0)</f>
        <v>0</v>
      </c>
      <c r="L30" s="14"/>
      <c r="M30" s="20">
        <v>0</v>
      </c>
      <c r="N30" s="8" t="s">
        <v>739</v>
      </c>
      <c r="O30" s="9">
        <v>0</v>
      </c>
    </row>
    <row r="31" spans="1:15" s="3" customFormat="1" ht="12" outlineLevel="1" thickTop="1" thickBot="1">
      <c r="A31" s="3" t="s">
        <v>60</v>
      </c>
      <c r="B31" s="15" t="s">
        <v>1075</v>
      </c>
      <c r="C31" s="15" t="s">
        <v>1077</v>
      </c>
      <c r="D31" s="17" t="s">
        <v>1075</v>
      </c>
      <c r="E31" s="19" t="s">
        <v>61</v>
      </c>
      <c r="F31" s="30">
        <v>0</v>
      </c>
      <c r="G31" s="7"/>
      <c r="H31" s="30">
        <v>0</v>
      </c>
      <c r="I31" s="30">
        <v>0</v>
      </c>
      <c r="J31" s="30">
        <v>0</v>
      </c>
      <c r="K31" s="30">
        <v>0</v>
      </c>
      <c r="L31" s="7"/>
      <c r="M31" s="30">
        <v>66813</v>
      </c>
      <c r="N31" s="8">
        <v>-1</v>
      </c>
      <c r="O31" s="9">
        <v>-66813</v>
      </c>
    </row>
    <row r="32" spans="1:15" s="3" customFormat="1" ht="11.25" outlineLevel="1" thickTop="1">
      <c r="A32" s="3" t="s">
        <v>62</v>
      </c>
      <c r="B32" s="15" t="s">
        <v>1075</v>
      </c>
      <c r="C32" s="15" t="s">
        <v>1075</v>
      </c>
      <c r="D32" s="17" t="s">
        <v>1075</v>
      </c>
      <c r="F32" s="6"/>
      <c r="G32" s="7"/>
      <c r="H32" s="6"/>
      <c r="I32" s="6"/>
      <c r="J32" s="6"/>
      <c r="K32" s="6"/>
      <c r="L32" s="7"/>
      <c r="M32" s="6"/>
      <c r="N32" s="8" t="s">
        <v>739</v>
      </c>
      <c r="O32" s="9" t="s">
        <v>739</v>
      </c>
    </row>
    <row r="33" spans="1:16" s="3" customFormat="1" ht="11.25" customHeight="1" outlineLevel="2" thickBot="1">
      <c r="A33" s="3" t="s">
        <v>63</v>
      </c>
      <c r="B33" s="15" t="s">
        <v>1075</v>
      </c>
      <c r="C33" s="15" t="s">
        <v>64</v>
      </c>
      <c r="D33" s="17" t="s">
        <v>1150</v>
      </c>
      <c r="E33" s="3" t="s">
        <v>65</v>
      </c>
      <c r="F33" s="20">
        <v>0</v>
      </c>
      <c r="G33" s="14"/>
      <c r="H33" s="20">
        <v>0</v>
      </c>
      <c r="I33" s="20">
        <v>0</v>
      </c>
      <c r="J33" s="20">
        <v>0</v>
      </c>
      <c r="K33" s="6">
        <f>IFERROR(ROUND(VLOOKUP(D33,#REF!,3,FALSE),4)/1000,0)</f>
        <v>0</v>
      </c>
      <c r="L33" s="14"/>
      <c r="M33" s="20">
        <v>10919</v>
      </c>
      <c r="N33" s="8">
        <v>-1</v>
      </c>
      <c r="O33" s="9">
        <v>-10919</v>
      </c>
    </row>
    <row r="34" spans="1:16" s="3" customFormat="1" ht="12" outlineLevel="1" thickTop="1" thickBot="1">
      <c r="A34" s="3" t="s">
        <v>66</v>
      </c>
      <c r="B34" s="15" t="s">
        <v>1075</v>
      </c>
      <c r="C34" s="15" t="s">
        <v>64</v>
      </c>
      <c r="D34" s="17" t="s">
        <v>1075</v>
      </c>
      <c r="E34" s="19" t="s">
        <v>67</v>
      </c>
      <c r="F34" s="30">
        <v>0</v>
      </c>
      <c r="G34" s="7"/>
      <c r="H34" s="30">
        <v>0</v>
      </c>
      <c r="I34" s="30">
        <v>0</v>
      </c>
      <c r="J34" s="30">
        <v>0</v>
      </c>
      <c r="K34" s="30">
        <v>0</v>
      </c>
      <c r="L34" s="7"/>
      <c r="M34" s="30">
        <v>10919</v>
      </c>
      <c r="N34" s="8">
        <v>-1</v>
      </c>
      <c r="O34" s="9">
        <v>-10919</v>
      </c>
    </row>
    <row r="35" spans="1:16" s="3" customFormat="1" ht="11.25" outlineLevel="1" thickTop="1">
      <c r="A35" s="3" t="s">
        <v>68</v>
      </c>
      <c r="B35" s="15" t="s">
        <v>1075</v>
      </c>
      <c r="C35" s="15" t="s">
        <v>1075</v>
      </c>
      <c r="D35" s="17" t="s">
        <v>1075</v>
      </c>
      <c r="F35" s="6"/>
      <c r="G35" s="7"/>
      <c r="H35" s="6"/>
      <c r="I35" s="6"/>
      <c r="J35" s="6"/>
      <c r="K35" s="6"/>
      <c r="L35" s="7"/>
      <c r="M35" s="6"/>
      <c r="N35" s="8" t="s">
        <v>739</v>
      </c>
      <c r="O35" s="9" t="s">
        <v>739</v>
      </c>
    </row>
    <row r="36" spans="1:16" s="3" customFormat="1" ht="10.5" customHeight="1" outlineLevel="2">
      <c r="A36" s="3" t="s">
        <v>69</v>
      </c>
      <c r="B36" s="15" t="s">
        <v>1075</v>
      </c>
      <c r="C36" s="15" t="s">
        <v>1078</v>
      </c>
      <c r="D36" s="17" t="s">
        <v>1151</v>
      </c>
      <c r="E36" s="3" t="s">
        <v>70</v>
      </c>
      <c r="F36" s="6">
        <v>514655</v>
      </c>
      <c r="G36" s="7"/>
      <c r="H36" s="6">
        <v>0</v>
      </c>
      <c r="I36" s="6">
        <v>514655</v>
      </c>
      <c r="J36" s="6">
        <v>0</v>
      </c>
      <c r="K36" s="6">
        <f>IFERROR(ROUND(VLOOKUP(D36,#REF!,3,FALSE),0)/1000,0)</f>
        <v>0</v>
      </c>
      <c r="L36" s="7"/>
      <c r="M36" s="6">
        <v>481969</v>
      </c>
      <c r="N36" s="8">
        <v>6.7817639723716669E-2</v>
      </c>
      <c r="O36" s="9">
        <v>32686</v>
      </c>
    </row>
    <row r="37" spans="1:16" s="3" customFormat="1" ht="10.5" customHeight="1" outlineLevel="2">
      <c r="A37" s="3" t="s">
        <v>71</v>
      </c>
      <c r="B37" s="15" t="s">
        <v>1075</v>
      </c>
      <c r="C37" s="15" t="s">
        <v>1078</v>
      </c>
      <c r="D37" s="17" t="s">
        <v>1152</v>
      </c>
      <c r="E37" s="3" t="s">
        <v>72</v>
      </c>
      <c r="F37" s="6">
        <v>-22</v>
      </c>
      <c r="G37" s="7"/>
      <c r="H37" s="6">
        <v>0</v>
      </c>
      <c r="I37" s="6">
        <v>-22</v>
      </c>
      <c r="J37" s="6">
        <v>0</v>
      </c>
      <c r="K37" s="6">
        <f>-IFERROR(ROUND(VLOOKUP(D37,#REF!,4,FALSE),0)/1000,0)</f>
        <v>0</v>
      </c>
      <c r="L37" s="7"/>
      <c r="M37" s="6">
        <v>3782</v>
      </c>
      <c r="N37" s="8">
        <v>-1.0058170280274987</v>
      </c>
      <c r="O37" s="9">
        <v>-3804</v>
      </c>
    </row>
    <row r="38" spans="1:16" s="3" customFormat="1" ht="10.5" customHeight="1" outlineLevel="2">
      <c r="A38" s="3" t="s">
        <v>73</v>
      </c>
      <c r="B38" s="15" t="s">
        <v>1075</v>
      </c>
      <c r="C38" s="15" t="s">
        <v>1078</v>
      </c>
      <c r="D38" s="17" t="s">
        <v>1153</v>
      </c>
      <c r="E38" s="3" t="s">
        <v>74</v>
      </c>
      <c r="F38" s="6">
        <v>-3347</v>
      </c>
      <c r="G38" s="7"/>
      <c r="H38" s="6">
        <v>0</v>
      </c>
      <c r="I38" s="6">
        <v>-3347</v>
      </c>
      <c r="J38" s="6">
        <v>0</v>
      </c>
      <c r="K38" s="6">
        <f>-IFERROR(ROUND(VLOOKUP(D38,#REF!,4,FALSE),0)/1000,0)</f>
        <v>0</v>
      </c>
      <c r="L38" s="7"/>
      <c r="M38" s="6">
        <v>378</v>
      </c>
      <c r="N38" s="8">
        <v>-9.8544973544973544</v>
      </c>
      <c r="O38" s="9">
        <v>-3725</v>
      </c>
    </row>
    <row r="39" spans="1:16" s="3" customFormat="1" ht="10.5" customHeight="1" outlineLevel="2">
      <c r="A39" s="3" t="s">
        <v>75</v>
      </c>
      <c r="B39" s="15" t="s">
        <v>1075</v>
      </c>
      <c r="C39" s="15" t="s">
        <v>1078</v>
      </c>
      <c r="D39" s="17" t="s">
        <v>1154</v>
      </c>
      <c r="E39" s="3" t="s">
        <v>76</v>
      </c>
      <c r="F39" s="6">
        <v>2341</v>
      </c>
      <c r="G39" s="7"/>
      <c r="H39" s="6">
        <v>0</v>
      </c>
      <c r="I39" s="6">
        <v>2341</v>
      </c>
      <c r="J39" s="6">
        <v>0</v>
      </c>
      <c r="K39" s="6">
        <f>IFERROR(ROUND(VLOOKUP(D39,#REF!,3,FALSE),0)/1000,0)</f>
        <v>0</v>
      </c>
      <c r="L39" s="7"/>
      <c r="M39" s="6">
        <v>2341</v>
      </c>
      <c r="N39" s="8">
        <v>0</v>
      </c>
      <c r="O39" s="9">
        <v>0</v>
      </c>
      <c r="P39" s="80">
        <f>K39-K41</f>
        <v>0</v>
      </c>
    </row>
    <row r="40" spans="1:16" s="3" customFormat="1" ht="10.5" customHeight="1" outlineLevel="2">
      <c r="A40" s="3" t="s">
        <v>77</v>
      </c>
      <c r="B40" s="15" t="s">
        <v>1075</v>
      </c>
      <c r="C40" s="15" t="s">
        <v>1078</v>
      </c>
      <c r="D40" s="17" t="s">
        <v>1155</v>
      </c>
      <c r="E40" s="3" t="s">
        <v>78</v>
      </c>
      <c r="F40" s="6">
        <v>85162</v>
      </c>
      <c r="G40" s="7"/>
      <c r="H40" s="6">
        <v>0</v>
      </c>
      <c r="I40" s="6">
        <v>85162</v>
      </c>
      <c r="J40" s="6">
        <v>0</v>
      </c>
      <c r="K40" s="6">
        <f>IFERROR(ROUND(VLOOKUP(D40,#REF!,3,FALSE),0)/1000,0)</f>
        <v>0</v>
      </c>
      <c r="L40" s="7"/>
      <c r="M40" s="6">
        <v>85162</v>
      </c>
      <c r="N40" s="8">
        <v>0</v>
      </c>
      <c r="O40" s="9">
        <v>0</v>
      </c>
    </row>
    <row r="41" spans="1:16" s="3" customFormat="1" ht="10.5" customHeight="1" outlineLevel="2">
      <c r="A41" s="3" t="s">
        <v>79</v>
      </c>
      <c r="B41" s="15" t="s">
        <v>1075</v>
      </c>
      <c r="C41" s="15" t="s">
        <v>1078</v>
      </c>
      <c r="D41" s="17" t="s">
        <v>1156</v>
      </c>
      <c r="E41" s="3" t="s">
        <v>80</v>
      </c>
      <c r="F41" s="6">
        <v>-74910</v>
      </c>
      <c r="G41" s="7"/>
      <c r="H41" s="6">
        <v>0</v>
      </c>
      <c r="I41" s="6">
        <v>-74910</v>
      </c>
      <c r="J41" s="6">
        <v>0</v>
      </c>
      <c r="K41" s="6">
        <f>-IFERROR(ROUND(VLOOKUP(D41,#REF!,4,FALSE),0)/1000,0)</f>
        <v>0</v>
      </c>
      <c r="L41" s="7"/>
      <c r="M41" s="6">
        <v>-74910</v>
      </c>
      <c r="N41" s="8">
        <v>0</v>
      </c>
      <c r="O41" s="9">
        <v>0</v>
      </c>
    </row>
    <row r="42" spans="1:16" s="3" customFormat="1" ht="10.5" customHeight="1" outlineLevel="2">
      <c r="A42" s="3" t="s">
        <v>81</v>
      </c>
      <c r="B42" s="15" t="s">
        <v>1075</v>
      </c>
      <c r="C42" s="15" t="s">
        <v>1078</v>
      </c>
      <c r="D42" s="17" t="s">
        <v>1157</v>
      </c>
      <c r="E42" s="3" t="s">
        <v>82</v>
      </c>
      <c r="F42" s="6">
        <v>-10252</v>
      </c>
      <c r="G42" s="7"/>
      <c r="H42" s="6">
        <v>0</v>
      </c>
      <c r="I42" s="6">
        <v>-10252</v>
      </c>
      <c r="J42" s="6">
        <v>0</v>
      </c>
      <c r="K42" s="6">
        <f>-IFERROR(ROUND(VLOOKUP(D42,#REF!,4,FALSE),0)/1000,0)</f>
        <v>0</v>
      </c>
      <c r="L42" s="7"/>
      <c r="M42" s="6">
        <v>-10252</v>
      </c>
      <c r="N42" s="8">
        <v>0</v>
      </c>
      <c r="O42" s="9">
        <v>0</v>
      </c>
    </row>
    <row r="43" spans="1:16" s="3" customFormat="1" ht="10.5" customHeight="1" outlineLevel="2">
      <c r="A43" s="3" t="s">
        <v>83</v>
      </c>
      <c r="B43" s="15" t="s">
        <v>1075</v>
      </c>
      <c r="C43" s="15" t="s">
        <v>1078</v>
      </c>
      <c r="D43" s="17" t="s">
        <v>1158</v>
      </c>
      <c r="E43" s="3" t="s">
        <v>84</v>
      </c>
      <c r="F43" s="27">
        <v>0</v>
      </c>
      <c r="G43" s="14"/>
      <c r="H43" s="27">
        <v>0</v>
      </c>
      <c r="I43" s="27">
        <v>0</v>
      </c>
      <c r="J43" s="27">
        <v>0</v>
      </c>
      <c r="K43" s="6">
        <f>-IFERROR(ROUND(VLOOKUP(D43,#REF!,4,FALSE),0)/1000,0)</f>
        <v>0</v>
      </c>
      <c r="L43" s="14"/>
      <c r="M43" s="27">
        <v>0</v>
      </c>
      <c r="N43" s="8" t="s">
        <v>739</v>
      </c>
      <c r="O43" s="9">
        <v>0</v>
      </c>
    </row>
    <row r="44" spans="1:16" s="3" customFormat="1" ht="11.25" outlineLevel="1" thickBot="1">
      <c r="A44" s="3" t="s">
        <v>86</v>
      </c>
      <c r="B44" s="15" t="s">
        <v>1075</v>
      </c>
      <c r="C44" s="15" t="s">
        <v>1078</v>
      </c>
      <c r="D44" s="17" t="s">
        <v>1075</v>
      </c>
      <c r="E44" s="19" t="s">
        <v>87</v>
      </c>
      <c r="F44" s="31">
        <v>513627</v>
      </c>
      <c r="G44" s="7"/>
      <c r="H44" s="31">
        <v>0</v>
      </c>
      <c r="I44" s="31">
        <v>513627</v>
      </c>
      <c r="J44" s="31">
        <v>0</v>
      </c>
      <c r="K44" s="31">
        <f>SUM(K36:K43)</f>
        <v>0</v>
      </c>
      <c r="L44" s="7"/>
      <c r="M44" s="31">
        <v>488470</v>
      </c>
      <c r="N44" s="8">
        <v>5.1501627530861668E-2</v>
      </c>
      <c r="O44" s="9">
        <v>25157</v>
      </c>
    </row>
    <row r="45" spans="1:16" s="3" customFormat="1" ht="12" outlineLevel="1" thickTop="1" thickBot="1">
      <c r="A45" s="3" t="s">
        <v>88</v>
      </c>
      <c r="B45" s="15" t="s">
        <v>1075</v>
      </c>
      <c r="C45" s="15" t="s">
        <v>1075</v>
      </c>
      <c r="D45" s="17" t="s">
        <v>1075</v>
      </c>
      <c r="F45" s="6"/>
      <c r="G45" s="7"/>
      <c r="H45" s="6"/>
      <c r="I45" s="6"/>
      <c r="J45" s="6"/>
      <c r="K45" s="6"/>
      <c r="L45" s="7"/>
      <c r="M45" s="6"/>
      <c r="N45" s="8" t="s">
        <v>739</v>
      </c>
      <c r="O45" s="9" t="s">
        <v>739</v>
      </c>
    </row>
    <row r="46" spans="1:16" s="3" customFormat="1" ht="12" outlineLevel="1" thickTop="1" thickBot="1">
      <c r="A46" s="3" t="s">
        <v>89</v>
      </c>
      <c r="B46" s="15" t="s">
        <v>1075</v>
      </c>
      <c r="C46" s="15" t="s">
        <v>90</v>
      </c>
      <c r="D46" s="17" t="s">
        <v>1075</v>
      </c>
      <c r="E46" s="19" t="s">
        <v>91</v>
      </c>
      <c r="F46" s="10">
        <v>0</v>
      </c>
      <c r="G46" s="7"/>
      <c r="H46" s="10">
        <v>0</v>
      </c>
      <c r="I46" s="10">
        <v>0</v>
      </c>
      <c r="J46" s="10">
        <v>0</v>
      </c>
      <c r="K46" s="10">
        <v>0</v>
      </c>
      <c r="L46" s="7"/>
      <c r="M46" s="10">
        <v>0</v>
      </c>
      <c r="N46" s="8" t="s">
        <v>739</v>
      </c>
      <c r="O46" s="9">
        <v>0</v>
      </c>
    </row>
    <row r="47" spans="1:16" s="3" customFormat="1" ht="11.25" outlineLevel="1" thickTop="1">
      <c r="A47" s="3" t="s">
        <v>92</v>
      </c>
      <c r="B47" s="15" t="s">
        <v>1075</v>
      </c>
      <c r="C47" s="15" t="s">
        <v>1075</v>
      </c>
      <c r="D47" s="17" t="s">
        <v>1075</v>
      </c>
      <c r="F47" s="6"/>
      <c r="G47" s="7"/>
      <c r="H47" s="6"/>
      <c r="I47" s="6"/>
      <c r="J47" s="6"/>
      <c r="K47" s="6"/>
      <c r="L47" s="7"/>
      <c r="M47" s="6"/>
      <c r="N47" s="8" t="s">
        <v>739</v>
      </c>
      <c r="O47" s="9" t="s">
        <v>739</v>
      </c>
    </row>
    <row r="48" spans="1:16" s="3" customFormat="1" ht="10.5" customHeight="1" outlineLevel="2">
      <c r="A48" s="3" t="s">
        <v>93</v>
      </c>
      <c r="B48" s="15" t="s">
        <v>1075</v>
      </c>
      <c r="C48" s="15" t="s">
        <v>1079</v>
      </c>
      <c r="D48" s="17" t="s">
        <v>1159</v>
      </c>
      <c r="E48" s="3" t="s">
        <v>94</v>
      </c>
      <c r="F48" s="6">
        <v>25000</v>
      </c>
      <c r="G48" s="7"/>
      <c r="H48" s="6">
        <v>0</v>
      </c>
      <c r="I48" s="6">
        <v>25000</v>
      </c>
      <c r="J48" s="6">
        <v>0</v>
      </c>
      <c r="K48" s="6">
        <f>IFERROR(ROUND(VLOOKUP(D48,#REF!,3,FALSE),0)/1000,0)</f>
        <v>0</v>
      </c>
      <c r="L48" s="7"/>
      <c r="M48" s="6">
        <v>75000</v>
      </c>
      <c r="N48" s="8">
        <v>-0.66666666666666663</v>
      </c>
      <c r="O48" s="9">
        <v>-50000</v>
      </c>
    </row>
    <row r="49" spans="1:15" s="3" customFormat="1" ht="10.5" customHeight="1" outlineLevel="2">
      <c r="A49" s="3" t="s">
        <v>95</v>
      </c>
      <c r="B49" s="15" t="s">
        <v>1075</v>
      </c>
      <c r="C49" s="15" t="s">
        <v>1079</v>
      </c>
      <c r="D49" s="17" t="s">
        <v>1160</v>
      </c>
      <c r="E49" s="3" t="s">
        <v>96</v>
      </c>
      <c r="F49" s="6">
        <v>2</v>
      </c>
      <c r="G49" s="7"/>
      <c r="H49" s="6">
        <v>0</v>
      </c>
      <c r="I49" s="6">
        <v>2</v>
      </c>
      <c r="J49" s="6">
        <v>0</v>
      </c>
      <c r="K49" s="6">
        <f>-IFERROR(ROUND(VLOOKUP(D49,#REF!,4,FALSE),0)/1000,0)</f>
        <v>0</v>
      </c>
      <c r="L49" s="7"/>
      <c r="M49" s="6">
        <v>-2</v>
      </c>
      <c r="N49" s="8">
        <v>-2</v>
      </c>
      <c r="O49" s="9">
        <v>4</v>
      </c>
    </row>
    <row r="50" spans="1:15" s="3" customFormat="1" ht="10.5" customHeight="1" outlineLevel="2">
      <c r="A50" s="3" t="s">
        <v>97</v>
      </c>
      <c r="B50" s="15" t="s">
        <v>1075</v>
      </c>
      <c r="C50" s="15" t="s">
        <v>1079</v>
      </c>
      <c r="D50" s="17" t="s">
        <v>1161</v>
      </c>
      <c r="E50" s="3" t="s">
        <v>98</v>
      </c>
      <c r="F50" s="6">
        <v>-274</v>
      </c>
      <c r="G50" s="7"/>
      <c r="H50" s="6">
        <v>0</v>
      </c>
      <c r="I50" s="6">
        <v>-274</v>
      </c>
      <c r="J50" s="6">
        <v>0</v>
      </c>
      <c r="K50" s="6">
        <f>-IFERROR(ROUND(VLOOKUP(D50,#REF!,4,FALSE),0)/1000,0)</f>
        <v>0</v>
      </c>
      <c r="L50" s="7"/>
      <c r="M50" s="6">
        <v>-401</v>
      </c>
      <c r="N50" s="8">
        <v>-0.3167082294264339</v>
      </c>
      <c r="O50" s="9">
        <v>127</v>
      </c>
    </row>
    <row r="51" spans="1:15" s="3" customFormat="1" ht="10.5" customHeight="1" outlineLevel="2">
      <c r="A51" s="3" t="s">
        <v>99</v>
      </c>
      <c r="B51" s="15" t="s">
        <v>1075</v>
      </c>
      <c r="C51" s="15" t="s">
        <v>1079</v>
      </c>
      <c r="D51" s="17" t="s">
        <v>1162</v>
      </c>
      <c r="E51" s="3" t="s">
        <v>100</v>
      </c>
      <c r="F51" s="6">
        <v>18000</v>
      </c>
      <c r="G51" s="7"/>
      <c r="H51" s="6">
        <v>0</v>
      </c>
      <c r="I51" s="6">
        <v>18000</v>
      </c>
      <c r="J51" s="6">
        <v>0</v>
      </c>
      <c r="K51" s="6">
        <f>IFERROR(ROUND(VLOOKUP(D51,#REF!,3,FALSE),4)/1000,0)</f>
        <v>0</v>
      </c>
      <c r="L51" s="7"/>
      <c r="M51" s="6">
        <v>0</v>
      </c>
      <c r="N51" s="8" t="s">
        <v>739</v>
      </c>
      <c r="O51" s="9">
        <v>18000</v>
      </c>
    </row>
    <row r="52" spans="1:15" s="3" customFormat="1" ht="10.5" customHeight="1" outlineLevel="2">
      <c r="A52" s="3" t="s">
        <v>101</v>
      </c>
      <c r="B52" s="15" t="s">
        <v>1075</v>
      </c>
      <c r="C52" s="15" t="s">
        <v>1079</v>
      </c>
      <c r="D52" s="17" t="s">
        <v>1163</v>
      </c>
      <c r="E52" s="3" t="s">
        <v>102</v>
      </c>
      <c r="F52" s="6">
        <v>173</v>
      </c>
      <c r="G52" s="7"/>
      <c r="H52" s="6">
        <v>0</v>
      </c>
      <c r="I52" s="6">
        <v>173</v>
      </c>
      <c r="J52" s="6">
        <v>0</v>
      </c>
      <c r="K52" s="6">
        <v>0</v>
      </c>
      <c r="L52" s="7"/>
      <c r="M52" s="6">
        <v>257</v>
      </c>
      <c r="N52" s="8">
        <v>-0.32684824902723736</v>
      </c>
      <c r="O52" s="9">
        <v>-84</v>
      </c>
    </row>
    <row r="53" spans="1:15" s="3" customFormat="1" ht="11.25" customHeight="1" outlineLevel="2" thickBot="1">
      <c r="A53" s="3" t="s">
        <v>103</v>
      </c>
      <c r="B53" s="15" t="s">
        <v>1075</v>
      </c>
      <c r="C53" s="15" t="s">
        <v>1079</v>
      </c>
      <c r="D53" s="17" t="s">
        <v>1164</v>
      </c>
      <c r="E53" s="3" t="s">
        <v>104</v>
      </c>
      <c r="F53" s="20">
        <v>26</v>
      </c>
      <c r="G53" s="14"/>
      <c r="H53" s="20">
        <v>0</v>
      </c>
      <c r="I53" s="20">
        <v>26</v>
      </c>
      <c r="J53" s="20">
        <v>0</v>
      </c>
      <c r="K53" s="20">
        <v>0</v>
      </c>
      <c r="L53" s="14"/>
      <c r="M53" s="20">
        <v>-257</v>
      </c>
      <c r="N53" s="8">
        <v>-1.1011673151750974</v>
      </c>
      <c r="O53" s="9">
        <v>283</v>
      </c>
    </row>
    <row r="54" spans="1:15" s="3" customFormat="1" ht="12" outlineLevel="1" thickTop="1" thickBot="1">
      <c r="A54" s="3" t="s">
        <v>105</v>
      </c>
      <c r="B54" s="15" t="s">
        <v>1075</v>
      </c>
      <c r="C54" s="15" t="s">
        <v>1079</v>
      </c>
      <c r="D54" s="17" t="s">
        <v>1075</v>
      </c>
      <c r="E54" s="19" t="s">
        <v>106</v>
      </c>
      <c r="F54" s="30">
        <v>42927</v>
      </c>
      <c r="G54" s="7"/>
      <c r="H54" s="30">
        <v>0</v>
      </c>
      <c r="I54" s="30">
        <v>42927</v>
      </c>
      <c r="J54" s="30">
        <v>0</v>
      </c>
      <c r="K54" s="30">
        <f>SUM(K48:K53)</f>
        <v>0</v>
      </c>
      <c r="L54" s="7"/>
      <c r="M54" s="30">
        <v>74597</v>
      </c>
      <c r="N54" s="8">
        <v>-0.42454790407120929</v>
      </c>
      <c r="O54" s="9">
        <v>-31670</v>
      </c>
    </row>
    <row r="55" spans="1:15" s="3" customFormat="1" ht="11.25" outlineLevel="1" thickTop="1">
      <c r="A55" s="3" t="s">
        <v>107</v>
      </c>
      <c r="B55" s="15" t="s">
        <v>1075</v>
      </c>
      <c r="C55" s="15" t="s">
        <v>1075</v>
      </c>
      <c r="D55" s="17" t="s">
        <v>1075</v>
      </c>
      <c r="F55" s="6"/>
      <c r="G55" s="7"/>
      <c r="H55" s="6"/>
      <c r="I55" s="6"/>
      <c r="J55" s="6"/>
      <c r="K55" s="6"/>
      <c r="L55" s="7"/>
      <c r="M55" s="6"/>
      <c r="N55" s="8" t="s">
        <v>739</v>
      </c>
      <c r="O55" s="9" t="s">
        <v>739</v>
      </c>
    </row>
    <row r="56" spans="1:15" s="3" customFormat="1" ht="10.5" customHeight="1" outlineLevel="2">
      <c r="A56" s="3" t="s">
        <v>108</v>
      </c>
      <c r="B56" s="15" t="s">
        <v>1075</v>
      </c>
      <c r="C56" s="15" t="s">
        <v>109</v>
      </c>
      <c r="D56" s="17" t="s">
        <v>1165</v>
      </c>
      <c r="E56" s="3" t="s">
        <v>110</v>
      </c>
      <c r="F56" s="6">
        <v>800</v>
      </c>
      <c r="G56" s="7"/>
      <c r="H56" s="6">
        <v>0</v>
      </c>
      <c r="I56" s="6">
        <v>800</v>
      </c>
      <c r="J56" s="6">
        <v>0</v>
      </c>
      <c r="K56" s="6">
        <f>IFERROR(ROUND(VLOOKUP(D56,#REF!,3,FALSE),4)/1000,0)</f>
        <v>0</v>
      </c>
      <c r="L56" s="7"/>
      <c r="M56" s="6">
        <v>18800</v>
      </c>
      <c r="N56" s="8">
        <v>-0.95744680851063835</v>
      </c>
      <c r="O56" s="9">
        <v>-18000</v>
      </c>
    </row>
    <row r="57" spans="1:15" s="3" customFormat="1" ht="10.5" customHeight="1" outlineLevel="2">
      <c r="A57" s="3" t="s">
        <v>111</v>
      </c>
      <c r="B57" s="15" t="s">
        <v>1075</v>
      </c>
      <c r="C57" s="15" t="s">
        <v>109</v>
      </c>
      <c r="D57" s="17" t="s">
        <v>1166</v>
      </c>
      <c r="E57" s="3" t="s">
        <v>112</v>
      </c>
      <c r="F57" s="6">
        <v>-1</v>
      </c>
      <c r="G57" s="7"/>
      <c r="H57" s="6">
        <v>0</v>
      </c>
      <c r="I57" s="6">
        <v>-1</v>
      </c>
      <c r="J57" s="6">
        <v>0</v>
      </c>
      <c r="K57" s="6">
        <f>IFERROR(ROUND(VLOOKUP(D57,#REF!,3,FALSE),4)/1000,0)</f>
        <v>0</v>
      </c>
      <c r="L57" s="7"/>
      <c r="M57" s="6">
        <v>360</v>
      </c>
      <c r="N57" s="8">
        <v>-1.0027777777777778</v>
      </c>
      <c r="O57" s="9">
        <v>-361</v>
      </c>
    </row>
    <row r="58" spans="1:15" s="3" customFormat="1" ht="11.25" customHeight="1" outlineLevel="2" thickBot="1">
      <c r="A58" s="3" t="s">
        <v>113</v>
      </c>
      <c r="B58" s="15" t="s">
        <v>1075</v>
      </c>
      <c r="C58" s="15" t="s">
        <v>109</v>
      </c>
      <c r="D58" s="17" t="s">
        <v>1167</v>
      </c>
      <c r="E58" s="3" t="s">
        <v>114</v>
      </c>
      <c r="F58" s="20">
        <v>12</v>
      </c>
      <c r="G58" s="14"/>
      <c r="H58" s="20">
        <v>0</v>
      </c>
      <c r="I58" s="20">
        <v>12</v>
      </c>
      <c r="J58" s="20">
        <v>0</v>
      </c>
      <c r="K58" s="6">
        <f>IFERROR(ROUND(VLOOKUP(D58,#REF!,3,FALSE),4)/1000,0)</f>
        <v>0</v>
      </c>
      <c r="L58" s="14"/>
      <c r="M58" s="20">
        <v>438</v>
      </c>
      <c r="N58" s="8">
        <v>-0.9726027397260274</v>
      </c>
      <c r="O58" s="9">
        <v>-426</v>
      </c>
    </row>
    <row r="59" spans="1:15" s="3" customFormat="1" ht="12" outlineLevel="1" thickTop="1" thickBot="1">
      <c r="A59" s="3" t="s">
        <v>115</v>
      </c>
      <c r="B59" s="15" t="s">
        <v>1075</v>
      </c>
      <c r="C59" s="15" t="s">
        <v>109</v>
      </c>
      <c r="D59" s="17" t="s">
        <v>1075</v>
      </c>
      <c r="E59" s="19" t="s">
        <v>116</v>
      </c>
      <c r="F59" s="30">
        <v>811</v>
      </c>
      <c r="G59" s="7"/>
      <c r="H59" s="30">
        <v>0</v>
      </c>
      <c r="I59" s="30">
        <v>811</v>
      </c>
      <c r="J59" s="30">
        <v>0</v>
      </c>
      <c r="K59" s="30">
        <f>SUM(K56:K58)</f>
        <v>0</v>
      </c>
      <c r="L59" s="7"/>
      <c r="M59" s="30">
        <v>19598</v>
      </c>
      <c r="N59" s="8">
        <v>-0.95861822634962757</v>
      </c>
      <c r="O59" s="9">
        <v>-18787</v>
      </c>
    </row>
    <row r="60" spans="1:15" s="3" customFormat="1" ht="11.25" outlineLevel="1" thickTop="1">
      <c r="A60" s="3" t="s">
        <v>117</v>
      </c>
      <c r="B60" s="15" t="s">
        <v>1075</v>
      </c>
      <c r="C60" s="15" t="s">
        <v>1075</v>
      </c>
      <c r="D60" s="17" t="s">
        <v>1075</v>
      </c>
      <c r="F60" s="6"/>
      <c r="G60" s="7"/>
      <c r="H60" s="6"/>
      <c r="I60" s="6"/>
      <c r="J60" s="6"/>
      <c r="K60" s="6"/>
      <c r="L60" s="7"/>
      <c r="M60" s="6"/>
      <c r="N60" s="8" t="s">
        <v>739</v>
      </c>
      <c r="O60" s="9" t="s">
        <v>739</v>
      </c>
    </row>
    <row r="61" spans="1:15" s="3" customFormat="1" ht="10.5" customHeight="1" outlineLevel="2">
      <c r="A61" s="3" t="s">
        <v>118</v>
      </c>
      <c r="B61" s="15" t="s">
        <v>1075</v>
      </c>
      <c r="C61" s="15" t="s">
        <v>1080</v>
      </c>
      <c r="D61" s="17" t="s">
        <v>1168</v>
      </c>
      <c r="E61" s="3" t="s">
        <v>119</v>
      </c>
      <c r="F61" s="6">
        <v>6</v>
      </c>
      <c r="G61" s="7"/>
      <c r="H61" s="6">
        <v>0</v>
      </c>
      <c r="I61" s="6">
        <v>6</v>
      </c>
      <c r="J61" s="6">
        <v>0</v>
      </c>
      <c r="K61" s="6">
        <f>IFERROR(ROUND(VLOOKUP(D61,#REF!,3,FALSE),4)/1000,0)</f>
        <v>0</v>
      </c>
      <c r="L61" s="7"/>
      <c r="M61" s="6">
        <v>5</v>
      </c>
      <c r="N61" s="8">
        <v>0.2</v>
      </c>
      <c r="O61" s="9">
        <v>1</v>
      </c>
    </row>
    <row r="62" spans="1:15" s="3" customFormat="1" ht="11.25" customHeight="1" outlineLevel="2" thickBot="1">
      <c r="A62" s="3" t="s">
        <v>120</v>
      </c>
      <c r="B62" s="15" t="s">
        <v>1075</v>
      </c>
      <c r="C62" s="15" t="s">
        <v>1080</v>
      </c>
      <c r="D62" s="17" t="s">
        <v>1169</v>
      </c>
      <c r="E62" s="3" t="s">
        <v>121</v>
      </c>
      <c r="F62" s="20">
        <v>-6</v>
      </c>
      <c r="G62" s="14"/>
      <c r="H62" s="20">
        <v>0</v>
      </c>
      <c r="I62" s="20">
        <v>-6</v>
      </c>
      <c r="J62" s="20">
        <v>0</v>
      </c>
      <c r="K62" s="6">
        <f>-IFERROR(ROUND(VLOOKUP(D62,#REF!,4,FALSE),4)/1000,0)</f>
        <v>0</v>
      </c>
      <c r="L62" s="14"/>
      <c r="M62" s="20">
        <v>-6</v>
      </c>
      <c r="N62" s="8">
        <v>0</v>
      </c>
      <c r="O62" s="9">
        <v>0</v>
      </c>
    </row>
    <row r="63" spans="1:15" s="3" customFormat="1" ht="12" outlineLevel="1" thickTop="1" thickBot="1">
      <c r="A63" s="3" t="s">
        <v>122</v>
      </c>
      <c r="B63" s="15" t="s">
        <v>1075</v>
      </c>
      <c r="C63" s="15" t="s">
        <v>1080</v>
      </c>
      <c r="D63" s="17" t="s">
        <v>1075</v>
      </c>
      <c r="E63" s="19" t="s">
        <v>123</v>
      </c>
      <c r="F63" s="30">
        <v>0</v>
      </c>
      <c r="G63" s="7"/>
      <c r="H63" s="30">
        <v>0</v>
      </c>
      <c r="I63" s="30">
        <v>0</v>
      </c>
      <c r="J63" s="30">
        <v>0</v>
      </c>
      <c r="K63" s="30">
        <f>SUM(K61:K62)</f>
        <v>0</v>
      </c>
      <c r="L63" s="7"/>
      <c r="M63" s="30">
        <v>-1</v>
      </c>
      <c r="N63" s="8">
        <v>-1</v>
      </c>
      <c r="O63" s="9">
        <v>1</v>
      </c>
    </row>
    <row r="64" spans="1:15" s="3" customFormat="1" ht="11.25" outlineLevel="1" thickTop="1">
      <c r="A64" s="3" t="s">
        <v>124</v>
      </c>
      <c r="B64" s="15" t="s">
        <v>1075</v>
      </c>
      <c r="C64" s="15" t="s">
        <v>1075</v>
      </c>
      <c r="D64" s="17" t="s">
        <v>1075</v>
      </c>
      <c r="F64" s="6"/>
      <c r="G64" s="7"/>
      <c r="H64" s="6"/>
      <c r="I64" s="6"/>
      <c r="J64" s="6"/>
      <c r="K64" s="6"/>
      <c r="L64" s="7"/>
      <c r="M64" s="6"/>
      <c r="N64" s="8" t="s">
        <v>739</v>
      </c>
      <c r="O64" s="9" t="s">
        <v>739</v>
      </c>
    </row>
    <row r="65" spans="1:15" s="3" customFormat="1" ht="11.25" customHeight="1" outlineLevel="2" thickBot="1">
      <c r="A65" s="3" t="s">
        <v>125</v>
      </c>
      <c r="B65" s="15" t="s">
        <v>1075</v>
      </c>
      <c r="C65" s="15" t="s">
        <v>1081</v>
      </c>
      <c r="D65" s="17" t="s">
        <v>1170</v>
      </c>
      <c r="E65" s="3" t="s">
        <v>126</v>
      </c>
      <c r="F65" s="20">
        <v>118295</v>
      </c>
      <c r="G65" s="14"/>
      <c r="H65" s="20">
        <v>0</v>
      </c>
      <c r="I65" s="20">
        <v>118295</v>
      </c>
      <c r="J65" s="20">
        <v>0</v>
      </c>
      <c r="K65" s="6">
        <f>IFERROR(ROUND(VLOOKUP(D65,#REF!,3,FALSE),4)/1000,0)</f>
        <v>0</v>
      </c>
      <c r="L65" s="14"/>
      <c r="M65" s="20">
        <v>195246</v>
      </c>
      <c r="N65" s="8">
        <v>-0.39412331110496501</v>
      </c>
      <c r="O65" s="9">
        <v>-76951</v>
      </c>
    </row>
    <row r="66" spans="1:15" s="3" customFormat="1" ht="12" outlineLevel="1" thickTop="1" thickBot="1">
      <c r="A66" s="3" t="s">
        <v>127</v>
      </c>
      <c r="B66" s="15" t="s">
        <v>1075</v>
      </c>
      <c r="C66" s="15" t="s">
        <v>1081</v>
      </c>
      <c r="D66" s="17" t="s">
        <v>1075</v>
      </c>
      <c r="E66" s="19" t="s">
        <v>128</v>
      </c>
      <c r="F66" s="30">
        <v>118295</v>
      </c>
      <c r="G66" s="7"/>
      <c r="H66" s="30">
        <v>0</v>
      </c>
      <c r="I66" s="30">
        <v>118295</v>
      </c>
      <c r="J66" s="30">
        <v>0</v>
      </c>
      <c r="K66" s="30">
        <f>SUM(K65)</f>
        <v>0</v>
      </c>
      <c r="L66" s="7"/>
      <c r="M66" s="30">
        <v>195246</v>
      </c>
      <c r="N66" s="8">
        <v>-0.39412331110496501</v>
      </c>
      <c r="O66" s="9">
        <v>-76951</v>
      </c>
    </row>
    <row r="67" spans="1:15" s="3" customFormat="1" ht="11.25" outlineLevel="1" thickTop="1">
      <c r="A67" s="3" t="s">
        <v>129</v>
      </c>
      <c r="B67" s="15" t="s">
        <v>1075</v>
      </c>
      <c r="C67" s="15" t="s">
        <v>1075</v>
      </c>
      <c r="D67" s="17" t="s">
        <v>1075</v>
      </c>
      <c r="F67" s="6"/>
      <c r="G67" s="7"/>
      <c r="H67" s="6"/>
      <c r="I67" s="6"/>
      <c r="J67" s="6"/>
      <c r="K67" s="6"/>
      <c r="L67" s="7"/>
      <c r="M67" s="6"/>
      <c r="N67" s="8" t="s">
        <v>739</v>
      </c>
      <c r="O67" s="9" t="s">
        <v>739</v>
      </c>
    </row>
    <row r="68" spans="1:15" s="3" customFormat="1" ht="11.25" customHeight="1" outlineLevel="2" thickBot="1">
      <c r="A68" s="3" t="s">
        <v>130</v>
      </c>
      <c r="B68" s="15" t="s">
        <v>1075</v>
      </c>
      <c r="C68" s="15" t="s">
        <v>1082</v>
      </c>
      <c r="D68" s="17" t="s">
        <v>1171</v>
      </c>
      <c r="E68" s="3" t="s">
        <v>131</v>
      </c>
      <c r="F68" s="20">
        <v>0</v>
      </c>
      <c r="G68" s="14"/>
      <c r="H68" s="20">
        <v>0</v>
      </c>
      <c r="I68" s="20">
        <v>0</v>
      </c>
      <c r="J68" s="20">
        <v>0</v>
      </c>
      <c r="K68" s="20">
        <v>0</v>
      </c>
      <c r="L68" s="14"/>
      <c r="M68" s="20">
        <v>200000</v>
      </c>
      <c r="N68" s="8">
        <v>-1</v>
      </c>
      <c r="O68" s="9">
        <v>-200000</v>
      </c>
    </row>
    <row r="69" spans="1:15" s="3" customFormat="1" ht="12" outlineLevel="1" thickTop="1" thickBot="1">
      <c r="A69" s="3" t="s">
        <v>132</v>
      </c>
      <c r="B69" s="15" t="s">
        <v>1075</v>
      </c>
      <c r="C69" s="15" t="s">
        <v>1082</v>
      </c>
      <c r="D69" s="17" t="s">
        <v>1075</v>
      </c>
      <c r="E69" s="19" t="s">
        <v>133</v>
      </c>
      <c r="F69" s="30">
        <v>0</v>
      </c>
      <c r="G69" s="7"/>
      <c r="H69" s="30">
        <v>0</v>
      </c>
      <c r="I69" s="30">
        <v>0</v>
      </c>
      <c r="J69" s="30">
        <v>0</v>
      </c>
      <c r="K69" s="30">
        <v>0</v>
      </c>
      <c r="L69" s="7"/>
      <c r="M69" s="30">
        <v>200000</v>
      </c>
      <c r="N69" s="8">
        <v>-1</v>
      </c>
      <c r="O69" s="9">
        <v>-200000</v>
      </c>
    </row>
    <row r="70" spans="1:15" s="3" customFormat="1" ht="11.25" outlineLevel="1" thickTop="1">
      <c r="A70" s="3" t="s">
        <v>134</v>
      </c>
      <c r="B70" s="15" t="s">
        <v>1075</v>
      </c>
      <c r="C70" s="15" t="s">
        <v>1075</v>
      </c>
      <c r="D70" s="17" t="s">
        <v>1075</v>
      </c>
      <c r="F70" s="6"/>
      <c r="G70" s="7"/>
      <c r="H70" s="6"/>
      <c r="I70" s="6"/>
      <c r="J70" s="6"/>
      <c r="K70" s="6"/>
      <c r="L70" s="7"/>
      <c r="M70" s="6"/>
      <c r="N70" s="8" t="s">
        <v>739</v>
      </c>
      <c r="O70" s="9" t="s">
        <v>739</v>
      </c>
    </row>
    <row r="71" spans="1:15" s="3" customFormat="1" ht="11.25" customHeight="1" outlineLevel="2" thickBot="1">
      <c r="A71" s="3" t="s">
        <v>135</v>
      </c>
      <c r="B71" s="15" t="s">
        <v>1075</v>
      </c>
      <c r="C71" s="15" t="s">
        <v>1083</v>
      </c>
      <c r="D71" s="17" t="s">
        <v>1172</v>
      </c>
      <c r="E71" s="3" t="s">
        <v>136</v>
      </c>
      <c r="F71" s="20">
        <v>0</v>
      </c>
      <c r="G71" s="14"/>
      <c r="H71" s="20">
        <v>0</v>
      </c>
      <c r="I71" s="20">
        <v>0</v>
      </c>
      <c r="J71" s="20">
        <v>0</v>
      </c>
      <c r="K71" s="20">
        <v>0</v>
      </c>
      <c r="L71" s="14"/>
      <c r="M71" s="20">
        <v>0</v>
      </c>
      <c r="N71" s="8" t="s">
        <v>739</v>
      </c>
      <c r="O71" s="9">
        <v>0</v>
      </c>
    </row>
    <row r="72" spans="1:15" s="3" customFormat="1" ht="12" outlineLevel="1" thickTop="1" thickBot="1">
      <c r="A72" s="3" t="s">
        <v>137</v>
      </c>
      <c r="B72" s="15" t="s">
        <v>1075</v>
      </c>
      <c r="C72" s="15" t="s">
        <v>1083</v>
      </c>
      <c r="D72" s="17" t="s">
        <v>1075</v>
      </c>
      <c r="E72" s="19" t="s">
        <v>138</v>
      </c>
      <c r="F72" s="30">
        <v>0</v>
      </c>
      <c r="G72" s="7"/>
      <c r="H72" s="30">
        <v>0</v>
      </c>
      <c r="I72" s="30">
        <v>0</v>
      </c>
      <c r="J72" s="30">
        <v>0</v>
      </c>
      <c r="K72" s="30">
        <v>0</v>
      </c>
      <c r="L72" s="7"/>
      <c r="M72" s="30">
        <v>0</v>
      </c>
      <c r="N72" s="8" t="s">
        <v>739</v>
      </c>
      <c r="O72" s="9">
        <v>0</v>
      </c>
    </row>
    <row r="73" spans="1:15" s="3" customFormat="1" ht="11.25" outlineLevel="1" thickTop="1">
      <c r="A73" s="3" t="s">
        <v>139</v>
      </c>
      <c r="B73" s="15" t="s">
        <v>1075</v>
      </c>
      <c r="C73" s="15" t="s">
        <v>1075</v>
      </c>
      <c r="D73" s="17" t="s">
        <v>1075</v>
      </c>
      <c r="F73" s="6"/>
      <c r="G73" s="7"/>
      <c r="H73" s="6"/>
      <c r="I73" s="6"/>
      <c r="J73" s="6"/>
      <c r="K73" s="6"/>
      <c r="L73" s="7"/>
      <c r="M73" s="6"/>
      <c r="N73" s="8" t="s">
        <v>739</v>
      </c>
      <c r="O73" s="9" t="s">
        <v>739</v>
      </c>
    </row>
    <row r="74" spans="1:15" s="3" customFormat="1" ht="11.25" customHeight="1" outlineLevel="2" thickBot="1">
      <c r="A74" s="3" t="s">
        <v>140</v>
      </c>
      <c r="B74" s="15" t="s">
        <v>1075</v>
      </c>
      <c r="C74" s="15" t="s">
        <v>1084</v>
      </c>
      <c r="D74" s="17" t="s">
        <v>1173</v>
      </c>
      <c r="E74" s="3" t="s">
        <v>141</v>
      </c>
      <c r="F74" s="20">
        <v>0</v>
      </c>
      <c r="G74" s="14"/>
      <c r="H74" s="20">
        <v>0</v>
      </c>
      <c r="I74" s="20">
        <v>0</v>
      </c>
      <c r="J74" s="20">
        <v>0</v>
      </c>
      <c r="K74" s="20">
        <v>0</v>
      </c>
      <c r="L74" s="14"/>
      <c r="M74" s="20">
        <v>282</v>
      </c>
      <c r="N74" s="8">
        <v>-1</v>
      </c>
      <c r="O74" s="9">
        <v>-282</v>
      </c>
    </row>
    <row r="75" spans="1:15" s="3" customFormat="1" ht="12" outlineLevel="1" thickTop="1" thickBot="1">
      <c r="A75" s="3" t="s">
        <v>142</v>
      </c>
      <c r="B75" s="15" t="s">
        <v>1075</v>
      </c>
      <c r="C75" s="15" t="s">
        <v>1084</v>
      </c>
      <c r="D75" s="17" t="s">
        <v>1075</v>
      </c>
      <c r="E75" s="19" t="s">
        <v>143</v>
      </c>
      <c r="F75" s="30">
        <v>0</v>
      </c>
      <c r="G75" s="7"/>
      <c r="H75" s="30">
        <v>0</v>
      </c>
      <c r="I75" s="30">
        <v>0</v>
      </c>
      <c r="J75" s="30">
        <v>0</v>
      </c>
      <c r="K75" s="30">
        <v>0</v>
      </c>
      <c r="L75" s="7"/>
      <c r="M75" s="30">
        <v>282</v>
      </c>
      <c r="N75" s="8">
        <v>-1</v>
      </c>
      <c r="O75" s="9">
        <v>-282</v>
      </c>
    </row>
    <row r="76" spans="1:15" s="3" customFormat="1" ht="11.25" outlineLevel="1" thickTop="1">
      <c r="A76" s="3" t="s">
        <v>144</v>
      </c>
      <c r="B76" s="15" t="s">
        <v>1075</v>
      </c>
      <c r="C76" s="15" t="s">
        <v>1075</v>
      </c>
      <c r="D76" s="17" t="s">
        <v>1075</v>
      </c>
      <c r="F76" s="6"/>
      <c r="G76" s="7"/>
      <c r="H76" s="6"/>
      <c r="I76" s="6"/>
      <c r="J76" s="6"/>
      <c r="K76" s="6"/>
      <c r="L76" s="7"/>
      <c r="M76" s="6"/>
      <c r="N76" s="8" t="s">
        <v>739</v>
      </c>
      <c r="O76" s="9" t="s">
        <v>739</v>
      </c>
    </row>
    <row r="77" spans="1:15" s="3" customFormat="1" ht="10.5" customHeight="1" outlineLevel="2">
      <c r="A77" s="3" t="s">
        <v>145</v>
      </c>
      <c r="B77" s="15" t="s">
        <v>1075</v>
      </c>
      <c r="C77" s="15" t="s">
        <v>1085</v>
      </c>
      <c r="D77" s="17" t="s">
        <v>1174</v>
      </c>
      <c r="E77" s="3" t="s">
        <v>146</v>
      </c>
      <c r="F77" s="6">
        <v>55</v>
      </c>
      <c r="G77" s="7"/>
      <c r="H77" s="6">
        <v>0</v>
      </c>
      <c r="I77" s="6">
        <v>55</v>
      </c>
      <c r="J77" s="6">
        <v>0</v>
      </c>
      <c r="K77" s="6">
        <f>IFERROR(ROUND(VLOOKUP(D77,#REF!,3,FALSE),0)/1000,0)</f>
        <v>0</v>
      </c>
      <c r="L77" s="7"/>
      <c r="M77" s="6">
        <v>373</v>
      </c>
      <c r="N77" s="8">
        <v>-0.85254691689008044</v>
      </c>
      <c r="O77" s="9">
        <v>-318</v>
      </c>
    </row>
    <row r="78" spans="1:15" s="3" customFormat="1" ht="10.5" customHeight="1" outlineLevel="2">
      <c r="A78" s="3" t="s">
        <v>147</v>
      </c>
      <c r="B78" s="15" t="s">
        <v>1075</v>
      </c>
      <c r="C78" s="15" t="s">
        <v>1085</v>
      </c>
      <c r="D78" s="17" t="s">
        <v>1175</v>
      </c>
      <c r="E78" s="3" t="s">
        <v>148</v>
      </c>
      <c r="F78" s="6">
        <v>4</v>
      </c>
      <c r="G78" s="7"/>
      <c r="H78" s="6">
        <v>0</v>
      </c>
      <c r="I78" s="6">
        <v>4</v>
      </c>
      <c r="J78" s="6">
        <v>0</v>
      </c>
      <c r="K78" s="6">
        <f>IFERROR(ROUND(VLOOKUP(D78,#REF!,3,FALSE),0)/1000,0)</f>
        <v>0</v>
      </c>
      <c r="L78" s="7"/>
      <c r="M78" s="6">
        <v>89</v>
      </c>
      <c r="N78" s="8">
        <v>-0.9550561797752809</v>
      </c>
      <c r="O78" s="9">
        <v>-85</v>
      </c>
    </row>
    <row r="79" spans="1:15" s="3" customFormat="1" ht="10.5" customHeight="1" outlineLevel="2">
      <c r="A79" s="3" t="s">
        <v>149</v>
      </c>
      <c r="B79" s="15" t="s">
        <v>1075</v>
      </c>
      <c r="C79" s="15" t="s">
        <v>1085</v>
      </c>
      <c r="D79" s="17" t="s">
        <v>1176</v>
      </c>
      <c r="E79" s="3" t="s">
        <v>150</v>
      </c>
      <c r="F79" s="6">
        <v>0</v>
      </c>
      <c r="G79" s="7"/>
      <c r="H79" s="6">
        <v>0</v>
      </c>
      <c r="I79" s="6">
        <v>0</v>
      </c>
      <c r="J79" s="6">
        <v>0</v>
      </c>
      <c r="K79" s="6">
        <f>IFERROR(ROUND(VLOOKUP(D79,#REF!,3,FALSE),0)/1000,0)</f>
        <v>0</v>
      </c>
      <c r="L79" s="7"/>
      <c r="M79" s="6">
        <v>0</v>
      </c>
      <c r="N79" s="8" t="s">
        <v>739</v>
      </c>
      <c r="O79" s="9">
        <v>0</v>
      </c>
    </row>
    <row r="80" spans="1:15" s="3" customFormat="1" ht="10.5" customHeight="1" outlineLevel="2">
      <c r="A80" s="3" t="s">
        <v>151</v>
      </c>
      <c r="B80" s="15" t="s">
        <v>1075</v>
      </c>
      <c r="C80" s="15" t="s">
        <v>1085</v>
      </c>
      <c r="D80" s="17" t="s">
        <v>1177</v>
      </c>
      <c r="E80" s="3" t="s">
        <v>152</v>
      </c>
      <c r="F80" s="6">
        <v>25</v>
      </c>
      <c r="G80" s="7"/>
      <c r="H80" s="6">
        <v>0</v>
      </c>
      <c r="I80" s="6">
        <v>25</v>
      </c>
      <c r="J80" s="6">
        <v>0</v>
      </c>
      <c r="K80" s="6">
        <f>IFERROR(ROUND(VLOOKUP(D80,#REF!,3,FALSE),0)/1000,0)</f>
        <v>0</v>
      </c>
      <c r="L80" s="7"/>
      <c r="M80" s="6">
        <v>48</v>
      </c>
      <c r="N80" s="8">
        <v>-0.47916666666666669</v>
      </c>
      <c r="O80" s="9">
        <v>-23</v>
      </c>
    </row>
    <row r="81" spans="1:15" s="3" customFormat="1" ht="10.5" customHeight="1" outlineLevel="2">
      <c r="A81" s="3" t="s">
        <v>153</v>
      </c>
      <c r="B81" s="15" t="s">
        <v>1075</v>
      </c>
      <c r="C81" s="15" t="s">
        <v>1085</v>
      </c>
      <c r="D81" s="17" t="s">
        <v>1178</v>
      </c>
      <c r="E81" s="3" t="s">
        <v>154</v>
      </c>
      <c r="F81" s="6">
        <v>0</v>
      </c>
      <c r="G81" s="7"/>
      <c r="H81" s="6">
        <v>0</v>
      </c>
      <c r="I81" s="6">
        <v>0</v>
      </c>
      <c r="J81" s="6">
        <v>0</v>
      </c>
      <c r="K81" s="6">
        <f>IFERROR(ROUND(VLOOKUP(D81,#REF!,3,FALSE),0)/1000,0)</f>
        <v>0</v>
      </c>
      <c r="L81" s="7"/>
      <c r="M81" s="6">
        <v>29</v>
      </c>
      <c r="N81" s="8">
        <v>-1</v>
      </c>
      <c r="O81" s="9">
        <v>-29</v>
      </c>
    </row>
    <row r="82" spans="1:15" s="3" customFormat="1" ht="10.5" customHeight="1" outlineLevel="2">
      <c r="A82" s="3" t="s">
        <v>155</v>
      </c>
      <c r="B82" s="15" t="s">
        <v>1075</v>
      </c>
      <c r="C82" s="15" t="s">
        <v>1085</v>
      </c>
      <c r="D82" s="17" t="s">
        <v>1179</v>
      </c>
      <c r="E82" s="3" t="s">
        <v>156</v>
      </c>
      <c r="F82" s="6">
        <v>0</v>
      </c>
      <c r="G82" s="7"/>
      <c r="H82" s="6">
        <v>0</v>
      </c>
      <c r="I82" s="6">
        <v>0</v>
      </c>
      <c r="J82" s="6">
        <v>0</v>
      </c>
      <c r="K82" s="6">
        <f>IFERROR(ROUND(VLOOKUP(D82,#REF!,3,FALSE),0)/1000,0)</f>
        <v>0</v>
      </c>
      <c r="L82" s="7"/>
      <c r="M82" s="6">
        <v>0</v>
      </c>
      <c r="N82" s="8" t="s">
        <v>739</v>
      </c>
      <c r="O82" s="9">
        <v>0</v>
      </c>
    </row>
    <row r="83" spans="1:15" s="3" customFormat="1" ht="10.5" customHeight="1" outlineLevel="2">
      <c r="A83" s="3" t="s">
        <v>157</v>
      </c>
      <c r="B83" s="15" t="s">
        <v>1075</v>
      </c>
      <c r="C83" s="15" t="s">
        <v>1085</v>
      </c>
      <c r="D83" s="17" t="s">
        <v>1180</v>
      </c>
      <c r="E83" s="3" t="s">
        <v>158</v>
      </c>
      <c r="F83" s="6">
        <v>0</v>
      </c>
      <c r="G83" s="7"/>
      <c r="H83" s="6">
        <v>0</v>
      </c>
      <c r="I83" s="6">
        <v>0</v>
      </c>
      <c r="J83" s="6">
        <v>0</v>
      </c>
      <c r="K83" s="6">
        <f>IFERROR(ROUND(VLOOKUP(D83,#REF!,3,FALSE),0)/1000,0)</f>
        <v>0</v>
      </c>
      <c r="L83" s="7"/>
      <c r="M83" s="6">
        <v>0</v>
      </c>
      <c r="N83" s="8" t="s">
        <v>739</v>
      </c>
      <c r="O83" s="9">
        <v>0</v>
      </c>
    </row>
    <row r="84" spans="1:15" s="3" customFormat="1" ht="10.5" customHeight="1" outlineLevel="2">
      <c r="A84" s="3" t="s">
        <v>159</v>
      </c>
      <c r="B84" s="15" t="s">
        <v>1075</v>
      </c>
      <c r="C84" s="15" t="s">
        <v>1085</v>
      </c>
      <c r="D84" s="17" t="s">
        <v>1181</v>
      </c>
      <c r="E84" s="3" t="s">
        <v>160</v>
      </c>
      <c r="F84" s="6">
        <v>0</v>
      </c>
      <c r="G84" s="7"/>
      <c r="H84" s="6">
        <v>0</v>
      </c>
      <c r="I84" s="6">
        <v>0</v>
      </c>
      <c r="J84" s="6">
        <v>0</v>
      </c>
      <c r="K84" s="6">
        <f>IFERROR(ROUND(VLOOKUP(D84,#REF!,3,FALSE),0)/1000,0)</f>
        <v>0</v>
      </c>
      <c r="L84" s="7"/>
      <c r="M84" s="6">
        <v>0</v>
      </c>
      <c r="N84" s="8" t="s">
        <v>739</v>
      </c>
      <c r="O84" s="9">
        <v>0</v>
      </c>
    </row>
    <row r="85" spans="1:15" s="3" customFormat="1" ht="10.5" customHeight="1" outlineLevel="2">
      <c r="A85" s="3" t="s">
        <v>161</v>
      </c>
      <c r="B85" s="15" t="s">
        <v>1075</v>
      </c>
      <c r="C85" s="15" t="s">
        <v>1085</v>
      </c>
      <c r="D85" s="17" t="s">
        <v>1182</v>
      </c>
      <c r="E85" s="3" t="s">
        <v>162</v>
      </c>
      <c r="F85" s="6">
        <v>0</v>
      </c>
      <c r="G85" s="7"/>
      <c r="H85" s="6">
        <v>0</v>
      </c>
      <c r="I85" s="6">
        <v>0</v>
      </c>
      <c r="J85" s="6">
        <v>0</v>
      </c>
      <c r="K85" s="6">
        <f>IFERROR(ROUND(VLOOKUP(D85,#REF!,3,FALSE),0)/1000,0)</f>
        <v>0</v>
      </c>
      <c r="L85" s="7"/>
      <c r="M85" s="6">
        <v>407</v>
      </c>
      <c r="N85" s="8">
        <v>-1</v>
      </c>
      <c r="O85" s="9">
        <v>-407</v>
      </c>
    </row>
    <row r="86" spans="1:15" s="3" customFormat="1" ht="10.5" customHeight="1" outlineLevel="2">
      <c r="A86" s="3" t="s">
        <v>163</v>
      </c>
      <c r="B86" s="15" t="s">
        <v>1075</v>
      </c>
      <c r="C86" s="15" t="s">
        <v>1085</v>
      </c>
      <c r="D86" s="17" t="s">
        <v>1183</v>
      </c>
      <c r="E86" s="3" t="s">
        <v>164</v>
      </c>
      <c r="F86" s="6">
        <v>941</v>
      </c>
      <c r="G86" s="7"/>
      <c r="H86" s="6">
        <v>0</v>
      </c>
      <c r="I86" s="6">
        <v>941</v>
      </c>
      <c r="J86" s="6">
        <v>0</v>
      </c>
      <c r="K86" s="6">
        <f>IFERROR(ROUND(VLOOKUP(D86,#REF!,3,FALSE),0)/1000,0)</f>
        <v>0</v>
      </c>
      <c r="L86" s="7"/>
      <c r="M86" s="6">
        <v>651</v>
      </c>
      <c r="N86" s="8">
        <v>0.44546850998463899</v>
      </c>
      <c r="O86" s="9">
        <v>290</v>
      </c>
    </row>
    <row r="87" spans="1:15" s="3" customFormat="1" ht="10.5" customHeight="1" outlineLevel="2">
      <c r="A87" s="3" t="s">
        <v>165</v>
      </c>
      <c r="B87" s="15" t="s">
        <v>1075</v>
      </c>
      <c r="C87" s="15" t="s">
        <v>1085</v>
      </c>
      <c r="D87" s="17" t="s">
        <v>1184</v>
      </c>
      <c r="E87" s="3" t="s">
        <v>166</v>
      </c>
      <c r="F87" s="6">
        <v>0</v>
      </c>
      <c r="G87" s="7"/>
      <c r="H87" s="6">
        <v>0</v>
      </c>
      <c r="I87" s="6">
        <v>0</v>
      </c>
      <c r="J87" s="6">
        <v>0</v>
      </c>
      <c r="K87" s="6">
        <f>IFERROR(ROUND(VLOOKUP(D87,#REF!,3,FALSE),0)/1000,0)</f>
        <v>0</v>
      </c>
      <c r="L87" s="7"/>
      <c r="M87" s="6">
        <v>22</v>
      </c>
      <c r="N87" s="8">
        <v>-1</v>
      </c>
      <c r="O87" s="9">
        <v>-22</v>
      </c>
    </row>
    <row r="88" spans="1:15" s="3" customFormat="1" ht="10.5" customHeight="1" outlineLevel="2">
      <c r="A88" s="3" t="s">
        <v>1547</v>
      </c>
      <c r="B88" s="15" t="s">
        <v>1075</v>
      </c>
      <c r="C88" s="15" t="s">
        <v>1085</v>
      </c>
      <c r="D88" s="17" t="s">
        <v>1549</v>
      </c>
      <c r="E88" s="17" t="s">
        <v>1548</v>
      </c>
      <c r="F88" s="6">
        <v>0</v>
      </c>
      <c r="G88" s="14"/>
      <c r="H88" s="6">
        <v>0</v>
      </c>
      <c r="I88" s="6">
        <v>0</v>
      </c>
      <c r="J88" s="6">
        <v>0</v>
      </c>
      <c r="K88" s="6">
        <f>IFERROR(ROUND(VLOOKUP(D88,#REF!,3,FALSE),0)/1000,0)</f>
        <v>0</v>
      </c>
      <c r="L88" s="14"/>
      <c r="M88" s="6">
        <v>0</v>
      </c>
      <c r="N88" s="8" t="s">
        <v>739</v>
      </c>
      <c r="O88" s="9">
        <v>0</v>
      </c>
    </row>
    <row r="89" spans="1:15" s="3" customFormat="1" ht="10.5" customHeight="1" outlineLevel="2">
      <c r="A89" s="3" t="s">
        <v>1550</v>
      </c>
      <c r="B89" s="15" t="s">
        <v>1075</v>
      </c>
      <c r="C89" s="15" t="s">
        <v>1085</v>
      </c>
      <c r="D89" s="17" t="s">
        <v>1552</v>
      </c>
      <c r="E89" s="17" t="s">
        <v>1551</v>
      </c>
      <c r="F89" s="6">
        <v>774</v>
      </c>
      <c r="G89" s="14"/>
      <c r="H89" s="6">
        <v>0</v>
      </c>
      <c r="I89" s="6">
        <v>774</v>
      </c>
      <c r="J89" s="6">
        <v>0</v>
      </c>
      <c r="K89" s="6">
        <f>IFERROR(ROUND(VLOOKUP(D89,#REF!,3,FALSE),0)/1000,0)</f>
        <v>0</v>
      </c>
      <c r="L89" s="14"/>
      <c r="M89" s="6">
        <v>0</v>
      </c>
      <c r="N89" s="8" t="s">
        <v>739</v>
      </c>
      <c r="O89" s="9">
        <v>774</v>
      </c>
    </row>
    <row r="90" spans="1:15" s="3" customFormat="1" ht="10.5" customHeight="1" outlineLevel="2">
      <c r="A90" s="3" t="s">
        <v>1553</v>
      </c>
      <c r="B90" s="15" t="s">
        <v>1075</v>
      </c>
      <c r="C90" s="15" t="s">
        <v>1085</v>
      </c>
      <c r="D90" s="17" t="s">
        <v>1555</v>
      </c>
      <c r="E90" s="17" t="s">
        <v>1554</v>
      </c>
      <c r="F90" s="6">
        <v>1171</v>
      </c>
      <c r="G90" s="14"/>
      <c r="H90" s="6">
        <v>0</v>
      </c>
      <c r="I90" s="6">
        <v>1171</v>
      </c>
      <c r="J90" s="6">
        <v>0</v>
      </c>
      <c r="K90" s="6">
        <f>IFERROR(ROUND(VLOOKUP(D90,#REF!,3,FALSE),0)/1000,0)</f>
        <v>0</v>
      </c>
      <c r="L90" s="14"/>
      <c r="M90" s="6">
        <v>0</v>
      </c>
      <c r="N90" s="8" t="s">
        <v>739</v>
      </c>
      <c r="O90" s="9">
        <v>1171</v>
      </c>
    </row>
    <row r="91" spans="1:15" s="3" customFormat="1" ht="10.5" customHeight="1" outlineLevel="2">
      <c r="A91" s="3" t="s">
        <v>167</v>
      </c>
      <c r="B91" s="15" t="s">
        <v>1075</v>
      </c>
      <c r="C91" s="15" t="s">
        <v>1085</v>
      </c>
      <c r="D91" s="17" t="s">
        <v>1185</v>
      </c>
      <c r="E91" s="3" t="s">
        <v>168</v>
      </c>
      <c r="F91" s="6">
        <v>0</v>
      </c>
      <c r="G91" s="7"/>
      <c r="H91" s="6">
        <v>0</v>
      </c>
      <c r="I91" s="6">
        <v>0</v>
      </c>
      <c r="J91" s="6">
        <v>0</v>
      </c>
      <c r="K91" s="6">
        <f>IFERROR(ROUND(VLOOKUP(D91,#REF!,3,FALSE),0)/1000,0)</f>
        <v>0</v>
      </c>
      <c r="L91" s="7"/>
      <c r="M91" s="6">
        <v>2946</v>
      </c>
      <c r="N91" s="8">
        <v>-1</v>
      </c>
      <c r="O91" s="9">
        <v>-2946</v>
      </c>
    </row>
    <row r="92" spans="1:15" s="3" customFormat="1" ht="10.5" customHeight="1" outlineLevel="2">
      <c r="A92" s="3" t="s">
        <v>169</v>
      </c>
      <c r="B92" s="15" t="s">
        <v>1075</v>
      </c>
      <c r="C92" s="15" t="s">
        <v>1085</v>
      </c>
      <c r="D92" s="17" t="s">
        <v>1186</v>
      </c>
      <c r="E92" s="3" t="s">
        <v>170</v>
      </c>
      <c r="F92" s="6">
        <v>322</v>
      </c>
      <c r="G92" s="7"/>
      <c r="H92" s="6">
        <v>0</v>
      </c>
      <c r="I92" s="6">
        <v>322</v>
      </c>
      <c r="J92" s="6">
        <v>0</v>
      </c>
      <c r="K92" s="6">
        <f>IFERROR(ROUND(VLOOKUP(D92,#REF!,3,FALSE),0)/1000,0)</f>
        <v>0</v>
      </c>
      <c r="L92" s="7"/>
      <c r="M92" s="6">
        <v>0</v>
      </c>
      <c r="N92" s="8" t="s">
        <v>739</v>
      </c>
      <c r="O92" s="9">
        <v>322</v>
      </c>
    </row>
    <row r="93" spans="1:15" s="3" customFormat="1" ht="11.25" customHeight="1" outlineLevel="2" thickBot="1">
      <c r="A93" s="3" t="s">
        <v>171</v>
      </c>
      <c r="B93" s="15" t="s">
        <v>1075</v>
      </c>
      <c r="C93" s="15" t="s">
        <v>1085</v>
      </c>
      <c r="D93" s="17" t="s">
        <v>1187</v>
      </c>
      <c r="E93" s="3" t="s">
        <v>172</v>
      </c>
      <c r="F93" s="20">
        <v>0</v>
      </c>
      <c r="G93" s="14"/>
      <c r="H93" s="20">
        <v>0</v>
      </c>
      <c r="I93" s="20">
        <v>0</v>
      </c>
      <c r="J93" s="20">
        <v>0</v>
      </c>
      <c r="K93" s="6">
        <f>IFERROR(ROUND(VLOOKUP(D93,#REF!,3,FALSE),0)/1000,0)</f>
        <v>0</v>
      </c>
      <c r="L93" s="14"/>
      <c r="M93" s="20">
        <v>14</v>
      </c>
      <c r="N93" s="8">
        <v>-1</v>
      </c>
      <c r="O93" s="9">
        <v>-14</v>
      </c>
    </row>
    <row r="94" spans="1:15" s="3" customFormat="1" ht="12" outlineLevel="1" thickTop="1" thickBot="1">
      <c r="A94" s="3" t="s">
        <v>173</v>
      </c>
      <c r="B94" s="15" t="s">
        <v>1075</v>
      </c>
      <c r="C94" s="15" t="s">
        <v>1085</v>
      </c>
      <c r="D94" s="17" t="s">
        <v>1075</v>
      </c>
      <c r="E94" s="19" t="s">
        <v>174</v>
      </c>
      <c r="F94" s="30">
        <v>3292</v>
      </c>
      <c r="G94" s="7"/>
      <c r="H94" s="30">
        <v>0</v>
      </c>
      <c r="I94" s="30">
        <v>3292</v>
      </c>
      <c r="J94" s="30">
        <v>0</v>
      </c>
      <c r="K94" s="30">
        <f>SUM(K77:K93)</f>
        <v>0</v>
      </c>
      <c r="L94" s="7"/>
      <c r="M94" s="30">
        <v>4579</v>
      </c>
      <c r="N94" s="8">
        <v>-0.28106573487661063</v>
      </c>
      <c r="O94" s="9">
        <v>-1287</v>
      </c>
    </row>
    <row r="95" spans="1:15" s="3" customFormat="1" ht="11.25" outlineLevel="1" thickTop="1">
      <c r="A95" s="3" t="s">
        <v>175</v>
      </c>
      <c r="B95" s="15" t="s">
        <v>1075</v>
      </c>
      <c r="C95" s="15" t="s">
        <v>1075</v>
      </c>
      <c r="D95" s="17" t="s">
        <v>1075</v>
      </c>
      <c r="F95" s="6"/>
      <c r="G95" s="7"/>
      <c r="H95" s="6"/>
      <c r="I95" s="6"/>
      <c r="J95" s="6"/>
      <c r="K95" s="6"/>
      <c r="L95" s="7"/>
      <c r="M95" s="6"/>
      <c r="N95" s="8" t="s">
        <v>739</v>
      </c>
      <c r="O95" s="9" t="s">
        <v>739</v>
      </c>
    </row>
    <row r="96" spans="1:15" s="3" customFormat="1" ht="10.5" customHeight="1" outlineLevel="2">
      <c r="A96" s="3" t="s">
        <v>176</v>
      </c>
      <c r="B96" s="15" t="s">
        <v>1075</v>
      </c>
      <c r="C96" s="15" t="s">
        <v>1086</v>
      </c>
      <c r="D96" s="17" t="s">
        <v>1188</v>
      </c>
      <c r="E96" s="3" t="s">
        <v>177</v>
      </c>
      <c r="F96" s="6">
        <v>34685</v>
      </c>
      <c r="G96" s="7"/>
      <c r="H96" s="6">
        <v>0</v>
      </c>
      <c r="I96" s="6">
        <v>34685</v>
      </c>
      <c r="J96" s="6">
        <v>0</v>
      </c>
      <c r="K96" s="6">
        <f>IFERROR(ROUND(VLOOKUP(D96,#REF!,3,FALSE),0)/1000,0)</f>
        <v>0</v>
      </c>
      <c r="L96" s="7"/>
      <c r="M96" s="6">
        <v>34685</v>
      </c>
      <c r="N96" s="8">
        <v>0</v>
      </c>
      <c r="O96" s="9">
        <v>0</v>
      </c>
    </row>
    <row r="97" spans="1:15" s="3" customFormat="1" ht="10.5" customHeight="1" outlineLevel="2">
      <c r="A97" s="3" t="s">
        <v>178</v>
      </c>
      <c r="B97" s="15" t="s">
        <v>1075</v>
      </c>
      <c r="C97" s="15" t="s">
        <v>1086</v>
      </c>
      <c r="D97" s="17" t="s">
        <v>1189</v>
      </c>
      <c r="E97" s="3" t="s">
        <v>179</v>
      </c>
      <c r="F97" s="6">
        <v>-34685</v>
      </c>
      <c r="G97" s="7"/>
      <c r="H97" s="6">
        <v>0</v>
      </c>
      <c r="I97" s="6">
        <v>-34685</v>
      </c>
      <c r="J97" s="6">
        <v>0</v>
      </c>
      <c r="K97" s="6">
        <f>-IFERROR(ROUND(VLOOKUP(D97,#REF!,4,FALSE),0)/1000,0)</f>
        <v>0</v>
      </c>
      <c r="L97" s="7"/>
      <c r="M97" s="6">
        <v>-34685</v>
      </c>
      <c r="N97" s="8">
        <v>0</v>
      </c>
      <c r="O97" s="9">
        <v>0</v>
      </c>
    </row>
    <row r="98" spans="1:15" s="3" customFormat="1" ht="10.5" customHeight="1" outlineLevel="2">
      <c r="A98" s="3" t="s">
        <v>180</v>
      </c>
      <c r="B98" s="15" t="s">
        <v>1075</v>
      </c>
      <c r="C98" s="15" t="s">
        <v>1086</v>
      </c>
      <c r="D98" s="17" t="s">
        <v>1190</v>
      </c>
      <c r="E98" s="3" t="s">
        <v>181</v>
      </c>
      <c r="F98" s="6">
        <v>9172</v>
      </c>
      <c r="G98" s="7"/>
      <c r="H98" s="6">
        <v>0</v>
      </c>
      <c r="I98" s="6">
        <v>9172</v>
      </c>
      <c r="J98" s="6">
        <v>0</v>
      </c>
      <c r="K98" s="6">
        <f>IFERROR(ROUND(VLOOKUP(D98,#REF!,3,FALSE),0)/1000,0)</f>
        <v>0</v>
      </c>
      <c r="L98" s="7"/>
      <c r="M98" s="6">
        <v>2290</v>
      </c>
      <c r="N98" s="8">
        <v>3.0052401746724891</v>
      </c>
      <c r="O98" s="9">
        <v>6882</v>
      </c>
    </row>
    <row r="99" spans="1:15" s="3" customFormat="1" ht="11.25" customHeight="1" outlineLevel="2" thickBot="1">
      <c r="A99" s="3" t="s">
        <v>182</v>
      </c>
      <c r="B99" s="15" t="s">
        <v>1075</v>
      </c>
      <c r="C99" s="15" t="s">
        <v>1086</v>
      </c>
      <c r="D99" s="17" t="s">
        <v>1191</v>
      </c>
      <c r="E99" s="3" t="s">
        <v>181</v>
      </c>
      <c r="F99" s="20">
        <v>0</v>
      </c>
      <c r="G99" s="14"/>
      <c r="H99" s="20">
        <v>0</v>
      </c>
      <c r="I99" s="20">
        <v>0</v>
      </c>
      <c r="J99" s="20">
        <v>0</v>
      </c>
      <c r="K99" s="20">
        <v>0</v>
      </c>
      <c r="L99" s="14"/>
      <c r="M99" s="20">
        <v>4843</v>
      </c>
      <c r="N99" s="8">
        <v>-1</v>
      </c>
      <c r="O99" s="9">
        <v>-4843</v>
      </c>
    </row>
    <row r="100" spans="1:15" s="3" customFormat="1" ht="12" outlineLevel="1" thickTop="1" thickBot="1">
      <c r="A100" s="3" t="s">
        <v>183</v>
      </c>
      <c r="B100" s="15" t="s">
        <v>1075</v>
      </c>
      <c r="C100" s="15" t="s">
        <v>1086</v>
      </c>
      <c r="D100" s="17" t="s">
        <v>1075</v>
      </c>
      <c r="E100" s="19" t="s">
        <v>184</v>
      </c>
      <c r="F100" s="30">
        <v>9172</v>
      </c>
      <c r="G100" s="7"/>
      <c r="H100" s="30">
        <v>0</v>
      </c>
      <c r="I100" s="30">
        <v>9172</v>
      </c>
      <c r="J100" s="30">
        <v>0</v>
      </c>
      <c r="K100" s="30">
        <f>SUM(K96:K99)</f>
        <v>0</v>
      </c>
      <c r="L100" s="7"/>
      <c r="M100" s="30">
        <v>7133</v>
      </c>
      <c r="N100" s="8">
        <v>0.28585447918127016</v>
      </c>
      <c r="O100" s="9">
        <v>2039</v>
      </c>
    </row>
    <row r="101" spans="1:15" s="3" customFormat="1" ht="11.25" outlineLevel="1" thickTop="1">
      <c r="A101" s="3" t="s">
        <v>185</v>
      </c>
      <c r="B101" s="15" t="s">
        <v>1075</v>
      </c>
      <c r="C101" s="15" t="s">
        <v>1075</v>
      </c>
      <c r="D101" s="17" t="s">
        <v>1075</v>
      </c>
      <c r="F101" s="6"/>
      <c r="G101" s="7"/>
      <c r="H101" s="6"/>
      <c r="I101" s="6"/>
      <c r="J101" s="6"/>
      <c r="K101" s="6"/>
      <c r="L101" s="7"/>
      <c r="M101" s="6"/>
      <c r="N101" s="8" t="s">
        <v>739</v>
      </c>
      <c r="O101" s="9" t="s">
        <v>739</v>
      </c>
    </row>
    <row r="102" spans="1:15" s="3" customFormat="1" ht="11.25" customHeight="1" outlineLevel="2" thickBot="1">
      <c r="A102" s="3" t="s">
        <v>186</v>
      </c>
      <c r="B102" s="15" t="s">
        <v>1075</v>
      </c>
      <c r="C102" s="15" t="s">
        <v>1087</v>
      </c>
      <c r="D102" s="17" t="s">
        <v>1192</v>
      </c>
      <c r="E102" s="3" t="s">
        <v>187</v>
      </c>
      <c r="F102" s="20">
        <v>756</v>
      </c>
      <c r="G102" s="14"/>
      <c r="H102" s="20">
        <v>0</v>
      </c>
      <c r="I102" s="20">
        <v>756</v>
      </c>
      <c r="J102" s="20">
        <v>0</v>
      </c>
      <c r="K102" s="6">
        <f>IFERROR(ROUND(VLOOKUP(D102,#REF!,3,FALSE),0)/1000,0)</f>
        <v>0</v>
      </c>
      <c r="L102" s="14"/>
      <c r="M102" s="20">
        <v>756</v>
      </c>
      <c r="N102" s="8">
        <v>0</v>
      </c>
      <c r="O102" s="9">
        <v>0</v>
      </c>
    </row>
    <row r="103" spans="1:15" s="3" customFormat="1" ht="12" outlineLevel="1" thickTop="1" thickBot="1">
      <c r="A103" s="3" t="s">
        <v>188</v>
      </c>
      <c r="B103" s="15" t="s">
        <v>1075</v>
      </c>
      <c r="C103" s="15" t="s">
        <v>1087</v>
      </c>
      <c r="D103" s="17" t="s">
        <v>1075</v>
      </c>
      <c r="E103" s="19" t="s">
        <v>189</v>
      </c>
      <c r="F103" s="30">
        <v>756</v>
      </c>
      <c r="G103" s="7"/>
      <c r="H103" s="30">
        <v>0</v>
      </c>
      <c r="I103" s="30">
        <v>756</v>
      </c>
      <c r="J103" s="30">
        <v>0</v>
      </c>
      <c r="K103" s="30">
        <f>SUM(K102)</f>
        <v>0</v>
      </c>
      <c r="L103" s="7"/>
      <c r="M103" s="30">
        <v>756</v>
      </c>
      <c r="N103" s="8">
        <v>0</v>
      </c>
      <c r="O103" s="9">
        <v>0</v>
      </c>
    </row>
    <row r="104" spans="1:15" s="3" customFormat="1" ht="11.25" outlineLevel="1" thickTop="1">
      <c r="A104" s="3" t="s">
        <v>190</v>
      </c>
      <c r="B104" s="15" t="s">
        <v>1075</v>
      </c>
      <c r="C104" s="15" t="s">
        <v>1075</v>
      </c>
      <c r="D104" s="17" t="s">
        <v>1075</v>
      </c>
      <c r="F104" s="6"/>
      <c r="G104" s="7"/>
      <c r="H104" s="6"/>
      <c r="I104" s="6"/>
      <c r="J104" s="6"/>
      <c r="K104" s="6"/>
      <c r="L104" s="7"/>
      <c r="M104" s="6"/>
      <c r="N104" s="8" t="s">
        <v>739</v>
      </c>
      <c r="O104" s="9" t="s">
        <v>739</v>
      </c>
    </row>
    <row r="105" spans="1:15" s="3" customFormat="1" ht="11.25" customHeight="1" outlineLevel="2" thickBot="1">
      <c r="A105" s="3" t="s">
        <v>191</v>
      </c>
      <c r="B105" s="15" t="s">
        <v>1075</v>
      </c>
      <c r="C105" s="15" t="s">
        <v>1088</v>
      </c>
      <c r="D105" s="17" t="s">
        <v>1193</v>
      </c>
      <c r="E105" s="3" t="s">
        <v>192</v>
      </c>
      <c r="F105" s="20">
        <v>0</v>
      </c>
      <c r="G105" s="14"/>
      <c r="H105" s="20">
        <v>0</v>
      </c>
      <c r="I105" s="20">
        <v>0</v>
      </c>
      <c r="J105" s="20">
        <v>0</v>
      </c>
      <c r="K105" s="6">
        <f>IFERROR(ROUND(VLOOKUP(D105,#REF!,3,FALSE),0)/1000,0)</f>
        <v>0</v>
      </c>
      <c r="L105" s="14"/>
      <c r="M105" s="20">
        <v>1104</v>
      </c>
      <c r="N105" s="8">
        <v>-1</v>
      </c>
      <c r="O105" s="9">
        <v>-1104</v>
      </c>
    </row>
    <row r="106" spans="1:15" s="3" customFormat="1" ht="12" outlineLevel="1" thickTop="1" thickBot="1">
      <c r="A106" s="3" t="s">
        <v>193</v>
      </c>
      <c r="B106" s="15" t="s">
        <v>1075</v>
      </c>
      <c r="C106" s="15" t="s">
        <v>1088</v>
      </c>
      <c r="D106" s="17" t="s">
        <v>1075</v>
      </c>
      <c r="E106" s="19" t="s">
        <v>194</v>
      </c>
      <c r="F106" s="30">
        <v>0</v>
      </c>
      <c r="G106" s="7"/>
      <c r="H106" s="30">
        <v>0</v>
      </c>
      <c r="I106" s="30">
        <v>0</v>
      </c>
      <c r="J106" s="30">
        <v>0</v>
      </c>
      <c r="K106" s="30">
        <f>SUM(K105)</f>
        <v>0</v>
      </c>
      <c r="L106" s="7"/>
      <c r="M106" s="30">
        <v>1104</v>
      </c>
      <c r="N106" s="8">
        <v>-1</v>
      </c>
      <c r="O106" s="9">
        <v>-1104</v>
      </c>
    </row>
    <row r="107" spans="1:15" s="3" customFormat="1" ht="11.25" outlineLevel="1" thickTop="1">
      <c r="A107" s="3" t="s">
        <v>195</v>
      </c>
      <c r="B107" s="15" t="s">
        <v>1075</v>
      </c>
      <c r="C107" s="15" t="s">
        <v>1075</v>
      </c>
      <c r="D107" s="17" t="s">
        <v>1075</v>
      </c>
      <c r="F107" s="6"/>
      <c r="G107" s="7"/>
      <c r="H107" s="6"/>
      <c r="I107" s="6"/>
      <c r="J107" s="6"/>
      <c r="K107" s="6"/>
      <c r="L107" s="7"/>
      <c r="M107" s="6"/>
      <c r="N107" s="8" t="s">
        <v>739</v>
      </c>
      <c r="O107" s="9" t="s">
        <v>739</v>
      </c>
    </row>
    <row r="108" spans="1:15" s="3" customFormat="1" ht="11.25" customHeight="1" outlineLevel="2" thickBot="1">
      <c r="A108" s="3" t="s">
        <v>196</v>
      </c>
      <c r="B108" s="15" t="s">
        <v>1075</v>
      </c>
      <c r="C108" s="15" t="s">
        <v>1089</v>
      </c>
      <c r="D108" s="17" t="s">
        <v>1194</v>
      </c>
      <c r="E108" s="3" t="s">
        <v>197</v>
      </c>
      <c r="F108" s="20">
        <v>0</v>
      </c>
      <c r="G108" s="14"/>
      <c r="H108" s="20">
        <v>0</v>
      </c>
      <c r="I108" s="20">
        <v>0</v>
      </c>
      <c r="J108" s="20">
        <v>0</v>
      </c>
      <c r="K108" s="6">
        <f>IFERROR(ROUND(VLOOKUP(D108,#REF!,3,FALSE),0)/1000,0)</f>
        <v>0</v>
      </c>
      <c r="L108" s="14"/>
      <c r="M108" s="20">
        <v>9</v>
      </c>
      <c r="N108" s="8">
        <v>-1</v>
      </c>
      <c r="O108" s="9">
        <v>-9</v>
      </c>
    </row>
    <row r="109" spans="1:15" s="3" customFormat="1" ht="12" outlineLevel="1" thickTop="1" thickBot="1">
      <c r="A109" s="3" t="s">
        <v>198</v>
      </c>
      <c r="B109" s="15" t="s">
        <v>1075</v>
      </c>
      <c r="C109" s="15" t="s">
        <v>1089</v>
      </c>
      <c r="D109" s="17" t="s">
        <v>1075</v>
      </c>
      <c r="E109" s="19" t="s">
        <v>199</v>
      </c>
      <c r="F109" s="30">
        <v>0</v>
      </c>
      <c r="G109" s="7"/>
      <c r="H109" s="30">
        <v>0</v>
      </c>
      <c r="I109" s="30">
        <v>0</v>
      </c>
      <c r="J109" s="30">
        <v>0</v>
      </c>
      <c r="K109" s="30">
        <f>SUM(K108)</f>
        <v>0</v>
      </c>
      <c r="L109" s="7"/>
      <c r="M109" s="30">
        <v>9</v>
      </c>
      <c r="N109" s="8">
        <v>-1</v>
      </c>
      <c r="O109" s="9">
        <v>-9</v>
      </c>
    </row>
    <row r="110" spans="1:15" s="3" customFormat="1" ht="11.25" outlineLevel="1" thickTop="1">
      <c r="A110" s="3" t="s">
        <v>200</v>
      </c>
      <c r="B110" s="15" t="s">
        <v>1075</v>
      </c>
      <c r="C110" s="15" t="s">
        <v>1075</v>
      </c>
      <c r="D110" s="17" t="s">
        <v>1075</v>
      </c>
      <c r="F110" s="6"/>
      <c r="G110" s="7"/>
      <c r="H110" s="6"/>
      <c r="I110" s="6"/>
      <c r="J110" s="6"/>
      <c r="K110" s="6"/>
      <c r="L110" s="7"/>
      <c r="M110" s="6"/>
      <c r="N110" s="8" t="s">
        <v>739</v>
      </c>
      <c r="O110" s="9" t="s">
        <v>739</v>
      </c>
    </row>
    <row r="111" spans="1:15" s="3" customFormat="1" ht="10.5" customHeight="1" outlineLevel="2">
      <c r="A111" s="3" t="s">
        <v>1072</v>
      </c>
      <c r="B111" s="15" t="s">
        <v>1075</v>
      </c>
      <c r="C111" s="15" t="s">
        <v>1074</v>
      </c>
      <c r="D111" s="17" t="s">
        <v>1073</v>
      </c>
      <c r="E111" s="17" t="s">
        <v>85</v>
      </c>
      <c r="F111" s="6">
        <v>22000</v>
      </c>
      <c r="G111" s="14"/>
      <c r="H111" s="6">
        <v>0</v>
      </c>
      <c r="I111" s="6">
        <v>22000</v>
      </c>
      <c r="J111" s="6">
        <v>0</v>
      </c>
      <c r="K111" s="6">
        <f>IFERROR(ROUND(VLOOKUP(D111,#REF!,3,FALSE),0)/1000,0)</f>
        <v>0</v>
      </c>
      <c r="L111" s="14"/>
      <c r="M111" s="6">
        <v>1000</v>
      </c>
      <c r="N111" s="8">
        <v>21</v>
      </c>
      <c r="O111" s="9">
        <v>21000</v>
      </c>
    </row>
    <row r="112" spans="1:15" s="3" customFormat="1" ht="10.5" customHeight="1" outlineLevel="2">
      <c r="A112" s="3" t="s">
        <v>201</v>
      </c>
      <c r="B112" s="15" t="s">
        <v>1075</v>
      </c>
      <c r="C112" s="15" t="s">
        <v>1074</v>
      </c>
      <c r="D112" s="17" t="s">
        <v>1195</v>
      </c>
      <c r="E112" s="3" t="s">
        <v>202</v>
      </c>
      <c r="F112" s="6">
        <v>-149</v>
      </c>
      <c r="G112" s="7"/>
      <c r="H112" s="6">
        <v>0</v>
      </c>
      <c r="I112" s="6">
        <v>-149</v>
      </c>
      <c r="J112" s="6">
        <v>0</v>
      </c>
      <c r="K112" s="6">
        <f>IFERROR(ROUND(VLOOKUP(D112,#REF!,3,FALSE),0)/1000,0)</f>
        <v>0</v>
      </c>
      <c r="L112" s="7"/>
      <c r="M112" s="6">
        <v>152</v>
      </c>
      <c r="N112" s="8">
        <v>-1.9802631578947369</v>
      </c>
      <c r="O112" s="9">
        <v>-301</v>
      </c>
    </row>
    <row r="113" spans="1:15" s="3" customFormat="1" ht="11.25" customHeight="1" outlineLevel="2" thickBot="1">
      <c r="A113" s="3" t="s">
        <v>203</v>
      </c>
      <c r="B113" s="15" t="s">
        <v>1075</v>
      </c>
      <c r="C113" s="15" t="s">
        <v>1074</v>
      </c>
      <c r="D113" s="17" t="s">
        <v>1196</v>
      </c>
      <c r="E113" s="3" t="s">
        <v>204</v>
      </c>
      <c r="F113" s="20">
        <v>0</v>
      </c>
      <c r="G113" s="14"/>
      <c r="H113" s="20">
        <v>0</v>
      </c>
      <c r="I113" s="20">
        <v>0</v>
      </c>
      <c r="J113" s="20">
        <v>0</v>
      </c>
      <c r="K113" s="6">
        <f>IFERROR(ROUND(VLOOKUP(D113,#REF!,3,FALSE),0)/1000,0)</f>
        <v>0</v>
      </c>
      <c r="L113" s="14"/>
      <c r="M113" s="20">
        <v>0</v>
      </c>
      <c r="N113" s="8" t="s">
        <v>739</v>
      </c>
      <c r="O113" s="9">
        <v>0</v>
      </c>
    </row>
    <row r="114" spans="1:15" s="3" customFormat="1" ht="11.25" customHeight="1" outlineLevel="2" thickTop="1">
      <c r="A114" s="3" t="s">
        <v>1556</v>
      </c>
      <c r="B114" s="15" t="s">
        <v>1075</v>
      </c>
      <c r="C114" s="15" t="s">
        <v>1074</v>
      </c>
      <c r="D114" s="17" t="s">
        <v>1558</v>
      </c>
      <c r="E114" s="17" t="s">
        <v>1557</v>
      </c>
      <c r="F114" s="479">
        <v>0</v>
      </c>
      <c r="G114" s="14"/>
      <c r="H114" s="479">
        <v>0</v>
      </c>
      <c r="I114" s="479">
        <v>0</v>
      </c>
      <c r="J114" s="479">
        <v>0</v>
      </c>
      <c r="K114" s="6">
        <f>IFERROR(ROUND(VLOOKUP(D114,#REF!,3,FALSE),0)/1000,0)</f>
        <v>0</v>
      </c>
      <c r="L114" s="14"/>
      <c r="M114" s="479">
        <v>0</v>
      </c>
      <c r="N114" s="8" t="s">
        <v>739</v>
      </c>
      <c r="O114" s="9">
        <v>0</v>
      </c>
    </row>
    <row r="115" spans="1:15" s="3" customFormat="1" ht="10.5" customHeight="1" outlineLevel="2">
      <c r="A115" s="3" t="s">
        <v>1559</v>
      </c>
      <c r="B115" s="15" t="s">
        <v>1075</v>
      </c>
      <c r="C115" s="15" t="s">
        <v>1074</v>
      </c>
      <c r="D115" s="17" t="s">
        <v>1561</v>
      </c>
      <c r="E115" s="17" t="s">
        <v>1560</v>
      </c>
      <c r="F115" s="27">
        <v>0</v>
      </c>
      <c r="G115" s="14"/>
      <c r="H115" s="27">
        <v>0</v>
      </c>
      <c r="I115" s="27">
        <v>0</v>
      </c>
      <c r="J115" s="27">
        <v>0</v>
      </c>
      <c r="K115" s="6">
        <f>IFERROR(ROUND(VLOOKUP(D115,#REF!,3,FALSE),0)/1000,0)</f>
        <v>0</v>
      </c>
      <c r="L115" s="14"/>
      <c r="M115" s="27">
        <v>0</v>
      </c>
      <c r="N115" s="8" t="s">
        <v>739</v>
      </c>
      <c r="O115" s="9">
        <v>0</v>
      </c>
    </row>
    <row r="116" spans="1:15" s="3" customFormat="1" ht="11.25" outlineLevel="1" thickBot="1">
      <c r="A116" s="3" t="s">
        <v>205</v>
      </c>
      <c r="B116" s="15" t="s">
        <v>1075</v>
      </c>
      <c r="C116" s="15" t="s">
        <v>1074</v>
      </c>
      <c r="D116" s="17" t="s">
        <v>1075</v>
      </c>
      <c r="E116" s="19" t="s">
        <v>206</v>
      </c>
      <c r="F116" s="31">
        <v>21851</v>
      </c>
      <c r="G116" s="7"/>
      <c r="H116" s="31">
        <v>0</v>
      </c>
      <c r="I116" s="31">
        <v>21851</v>
      </c>
      <c r="J116" s="31">
        <v>0</v>
      </c>
      <c r="K116" s="31">
        <f>SUM(K111:K115)</f>
        <v>0</v>
      </c>
      <c r="L116" s="7"/>
      <c r="M116" s="31">
        <v>1152</v>
      </c>
      <c r="N116" s="8">
        <v>17.967881944444443</v>
      </c>
      <c r="O116" s="9">
        <v>20699</v>
      </c>
    </row>
    <row r="117" spans="1:15" s="3" customFormat="1" ht="11.25" outlineLevel="1" thickTop="1">
      <c r="A117" s="3" t="s">
        <v>207</v>
      </c>
      <c r="B117" s="15" t="s">
        <v>1075</v>
      </c>
      <c r="C117" s="15" t="s">
        <v>1075</v>
      </c>
      <c r="D117" s="17" t="s">
        <v>1075</v>
      </c>
      <c r="F117" s="6"/>
      <c r="G117" s="7"/>
      <c r="H117" s="6"/>
      <c r="I117" s="6"/>
      <c r="J117" s="6"/>
      <c r="K117" s="6"/>
      <c r="L117" s="7"/>
      <c r="M117" s="6"/>
      <c r="N117" s="8" t="s">
        <v>739</v>
      </c>
      <c r="O117" s="9" t="s">
        <v>739</v>
      </c>
    </row>
    <row r="118" spans="1:15" s="3" customFormat="1" ht="10.5" customHeight="1" outlineLevel="2">
      <c r="A118" s="3" t="s">
        <v>208</v>
      </c>
      <c r="B118" s="15" t="s">
        <v>1075</v>
      </c>
      <c r="C118" s="15" t="s">
        <v>1090</v>
      </c>
      <c r="D118" s="17" t="s">
        <v>1197</v>
      </c>
      <c r="E118" s="3" t="s">
        <v>209</v>
      </c>
      <c r="F118" s="6">
        <v>211</v>
      </c>
      <c r="G118" s="7"/>
      <c r="H118" s="6">
        <v>0</v>
      </c>
      <c r="I118" s="6">
        <v>211</v>
      </c>
      <c r="J118" s="6">
        <v>0</v>
      </c>
      <c r="K118" s="6">
        <f>IFERROR(ROUND(VLOOKUP(D118,#REF!,3,FALSE),0)/1000,0)</f>
        <v>0</v>
      </c>
      <c r="L118" s="7"/>
      <c r="M118" s="6">
        <v>142</v>
      </c>
      <c r="N118" s="8">
        <v>0.4859154929577465</v>
      </c>
      <c r="O118" s="9">
        <v>69</v>
      </c>
    </row>
    <row r="119" spans="1:15" s="3" customFormat="1" ht="10.5" customHeight="1" outlineLevel="2">
      <c r="A119" s="3" t="s">
        <v>210</v>
      </c>
      <c r="B119" s="15" t="s">
        <v>1075</v>
      </c>
      <c r="C119" s="15" t="s">
        <v>1090</v>
      </c>
      <c r="D119" s="17" t="s">
        <v>1198</v>
      </c>
      <c r="E119" s="3" t="s">
        <v>211</v>
      </c>
      <c r="F119" s="6">
        <v>21</v>
      </c>
      <c r="G119" s="7"/>
      <c r="H119" s="6">
        <v>0</v>
      </c>
      <c r="I119" s="6">
        <v>21</v>
      </c>
      <c r="J119" s="6">
        <v>0</v>
      </c>
      <c r="K119" s="6">
        <f>IFERROR(ROUND(VLOOKUP(D119,#REF!,3,FALSE),0)/1000,0)</f>
        <v>0</v>
      </c>
      <c r="L119" s="7"/>
      <c r="M119" s="6">
        <v>21</v>
      </c>
      <c r="N119" s="8">
        <v>0</v>
      </c>
      <c r="O119" s="9">
        <v>0</v>
      </c>
    </row>
    <row r="120" spans="1:15" s="3" customFormat="1" ht="11.25" customHeight="1" outlineLevel="2" thickBot="1">
      <c r="A120" s="3" t="s">
        <v>212</v>
      </c>
      <c r="B120" s="15" t="s">
        <v>1075</v>
      </c>
      <c r="C120" s="15" t="s">
        <v>1090</v>
      </c>
      <c r="D120" s="17" t="s">
        <v>1199</v>
      </c>
      <c r="E120" s="3" t="s">
        <v>213</v>
      </c>
      <c r="F120" s="20">
        <v>50</v>
      </c>
      <c r="G120" s="14"/>
      <c r="H120" s="20">
        <v>0</v>
      </c>
      <c r="I120" s="20">
        <v>50</v>
      </c>
      <c r="J120" s="20">
        <v>0</v>
      </c>
      <c r="K120" s="6">
        <f>IFERROR(ROUND(VLOOKUP(D120,#REF!,3,FALSE),0)/1000,0)</f>
        <v>0</v>
      </c>
      <c r="L120" s="14"/>
      <c r="M120" s="20">
        <v>50</v>
      </c>
      <c r="N120" s="8">
        <v>0</v>
      </c>
      <c r="O120" s="9">
        <v>0</v>
      </c>
    </row>
    <row r="121" spans="1:15" s="3" customFormat="1" ht="12" outlineLevel="1" thickTop="1" thickBot="1">
      <c r="A121" s="3" t="s">
        <v>214</v>
      </c>
      <c r="B121" s="15" t="s">
        <v>1075</v>
      </c>
      <c r="C121" s="15" t="s">
        <v>1090</v>
      </c>
      <c r="D121" s="17" t="s">
        <v>1075</v>
      </c>
      <c r="E121" s="19" t="s">
        <v>215</v>
      </c>
      <c r="F121" s="30">
        <v>282</v>
      </c>
      <c r="G121" s="7"/>
      <c r="H121" s="30">
        <v>0</v>
      </c>
      <c r="I121" s="30">
        <v>282</v>
      </c>
      <c r="J121" s="30">
        <v>0</v>
      </c>
      <c r="K121" s="30">
        <f>SUM(K118:K120)</f>
        <v>0</v>
      </c>
      <c r="L121" s="7"/>
      <c r="M121" s="30">
        <v>213</v>
      </c>
      <c r="N121" s="8">
        <v>0.323943661971831</v>
      </c>
      <c r="O121" s="9">
        <v>69</v>
      </c>
    </row>
    <row r="122" spans="1:15" s="3" customFormat="1" ht="11.25" outlineLevel="1" thickTop="1">
      <c r="A122" s="3" t="s">
        <v>216</v>
      </c>
      <c r="B122" s="15" t="s">
        <v>1075</v>
      </c>
      <c r="C122" s="15" t="s">
        <v>1075</v>
      </c>
      <c r="D122" s="17" t="s">
        <v>1075</v>
      </c>
      <c r="F122" s="6"/>
      <c r="G122" s="7"/>
      <c r="H122" s="6"/>
      <c r="I122" s="6"/>
      <c r="J122" s="6"/>
      <c r="K122" s="6"/>
      <c r="L122" s="7"/>
      <c r="M122" s="6"/>
      <c r="N122" s="8" t="s">
        <v>739</v>
      </c>
      <c r="O122" s="9" t="s">
        <v>739</v>
      </c>
    </row>
    <row r="123" spans="1:15" s="3" customFormat="1" ht="10.5" customHeight="1" outlineLevel="2">
      <c r="A123" s="3" t="s">
        <v>217</v>
      </c>
      <c r="B123" s="15" t="s">
        <v>1075</v>
      </c>
      <c r="C123" s="15" t="s">
        <v>1091</v>
      </c>
      <c r="D123" s="17" t="s">
        <v>1200</v>
      </c>
      <c r="E123" s="3" t="s">
        <v>218</v>
      </c>
      <c r="F123" s="6">
        <v>0</v>
      </c>
      <c r="G123" s="7"/>
      <c r="H123" s="6">
        <v>0</v>
      </c>
      <c r="I123" s="6">
        <v>0</v>
      </c>
      <c r="J123" s="6">
        <v>0</v>
      </c>
      <c r="K123" s="6">
        <f>IFERROR(ROUND(VLOOKUP(D123,#REF!,3,FALSE),0)/1000,0)</f>
        <v>0</v>
      </c>
      <c r="L123" s="7"/>
      <c r="M123" s="6">
        <v>0</v>
      </c>
      <c r="N123" s="8" t="s">
        <v>739</v>
      </c>
      <c r="O123" s="9">
        <v>0</v>
      </c>
    </row>
    <row r="124" spans="1:15" s="3" customFormat="1" ht="11.25" customHeight="1" outlineLevel="2" thickBot="1">
      <c r="A124" s="3" t="s">
        <v>219</v>
      </c>
      <c r="B124" s="15" t="s">
        <v>1075</v>
      </c>
      <c r="C124" s="15" t="s">
        <v>1091</v>
      </c>
      <c r="D124" s="17" t="s">
        <v>1201</v>
      </c>
      <c r="E124" s="3" t="s">
        <v>220</v>
      </c>
      <c r="F124" s="20">
        <v>2500</v>
      </c>
      <c r="G124" s="14"/>
      <c r="H124" s="20">
        <v>0</v>
      </c>
      <c r="I124" s="20">
        <v>2500</v>
      </c>
      <c r="J124" s="20">
        <v>0</v>
      </c>
      <c r="K124" s="6">
        <f>IFERROR(ROUND(VLOOKUP(D124,#REF!,3,FALSE),0)/1000,0)</f>
        <v>0</v>
      </c>
      <c r="L124" s="14"/>
      <c r="M124" s="20">
        <v>2500</v>
      </c>
      <c r="N124" s="8">
        <v>0</v>
      </c>
      <c r="O124" s="9">
        <v>0</v>
      </c>
    </row>
    <row r="125" spans="1:15" s="3" customFormat="1" ht="12" outlineLevel="1" thickTop="1" thickBot="1">
      <c r="A125" s="3" t="s">
        <v>221</v>
      </c>
      <c r="B125" s="15" t="s">
        <v>1075</v>
      </c>
      <c r="C125" s="15" t="s">
        <v>1091</v>
      </c>
      <c r="D125" s="17" t="s">
        <v>1075</v>
      </c>
      <c r="E125" s="19" t="s">
        <v>222</v>
      </c>
      <c r="F125" s="30">
        <v>2500</v>
      </c>
      <c r="G125" s="7"/>
      <c r="H125" s="30">
        <v>0</v>
      </c>
      <c r="I125" s="30">
        <v>2500</v>
      </c>
      <c r="J125" s="30">
        <v>0</v>
      </c>
      <c r="K125" s="30">
        <f>SUM(K123:K124)</f>
        <v>0</v>
      </c>
      <c r="L125" s="7"/>
      <c r="M125" s="30">
        <v>2500</v>
      </c>
      <c r="N125" s="8">
        <v>0</v>
      </c>
      <c r="O125" s="9">
        <v>0</v>
      </c>
    </row>
    <row r="126" spans="1:15" s="3" customFormat="1" ht="11.25" outlineLevel="1" thickTop="1">
      <c r="A126" s="3" t="s">
        <v>223</v>
      </c>
      <c r="B126" s="15" t="s">
        <v>1075</v>
      </c>
      <c r="C126" s="15" t="s">
        <v>1075</v>
      </c>
      <c r="D126" s="17" t="s">
        <v>1075</v>
      </c>
      <c r="F126" s="6"/>
      <c r="G126" s="7"/>
      <c r="H126" s="6"/>
      <c r="I126" s="6"/>
      <c r="J126" s="6"/>
      <c r="K126" s="6"/>
      <c r="L126" s="7"/>
      <c r="M126" s="6"/>
      <c r="N126" s="8" t="s">
        <v>739</v>
      </c>
      <c r="O126" s="9" t="s">
        <v>739</v>
      </c>
    </row>
    <row r="127" spans="1:15" s="3" customFormat="1" ht="11.25" customHeight="1" outlineLevel="2" thickBot="1">
      <c r="A127" s="3" t="s">
        <v>224</v>
      </c>
      <c r="B127" s="15" t="s">
        <v>1075</v>
      </c>
      <c r="C127" s="15" t="s">
        <v>1092</v>
      </c>
      <c r="D127" s="17" t="s">
        <v>1202</v>
      </c>
      <c r="E127" s="3" t="s">
        <v>225</v>
      </c>
      <c r="F127" s="20">
        <v>200</v>
      </c>
      <c r="G127" s="14"/>
      <c r="H127" s="20">
        <v>0</v>
      </c>
      <c r="I127" s="20">
        <v>200</v>
      </c>
      <c r="J127" s="20">
        <v>0</v>
      </c>
      <c r="K127" s="6">
        <f>IFERROR(ROUND(VLOOKUP(D127,#REF!,3,FALSE),0)/1000,0)</f>
        <v>0</v>
      </c>
      <c r="L127" s="14"/>
      <c r="M127" s="20">
        <v>200</v>
      </c>
      <c r="N127" s="8">
        <v>0</v>
      </c>
      <c r="O127" s="9">
        <v>0</v>
      </c>
    </row>
    <row r="128" spans="1:15" s="3" customFormat="1" ht="12" outlineLevel="1" thickTop="1" thickBot="1">
      <c r="A128" s="3" t="s">
        <v>226</v>
      </c>
      <c r="B128" s="15" t="s">
        <v>1075</v>
      </c>
      <c r="C128" s="15" t="s">
        <v>1092</v>
      </c>
      <c r="D128" s="17" t="s">
        <v>1075</v>
      </c>
      <c r="E128" s="19" t="s">
        <v>227</v>
      </c>
      <c r="F128" s="30">
        <v>200</v>
      </c>
      <c r="G128" s="7"/>
      <c r="H128" s="30">
        <v>0</v>
      </c>
      <c r="I128" s="30">
        <v>200</v>
      </c>
      <c r="J128" s="30">
        <v>0</v>
      </c>
      <c r="K128" s="30">
        <f>SUM(K127)</f>
        <v>0</v>
      </c>
      <c r="L128" s="7"/>
      <c r="M128" s="30">
        <v>200</v>
      </c>
      <c r="N128" s="8">
        <v>0</v>
      </c>
      <c r="O128" s="9">
        <v>0</v>
      </c>
    </row>
    <row r="129" spans="1:15" s="3" customFormat="1" ht="12" outlineLevel="1" thickTop="1" thickBot="1">
      <c r="A129" s="3" t="s">
        <v>228</v>
      </c>
      <c r="B129" s="15" t="s">
        <v>1075</v>
      </c>
      <c r="C129" s="15" t="s">
        <v>1075</v>
      </c>
      <c r="D129" s="17" t="s">
        <v>1075</v>
      </c>
      <c r="F129" s="6"/>
      <c r="G129" s="7"/>
      <c r="H129" s="6"/>
      <c r="I129" s="6"/>
      <c r="J129" s="6"/>
      <c r="K129" s="6"/>
      <c r="L129" s="7"/>
      <c r="M129" s="6"/>
      <c r="N129" s="8" t="s">
        <v>739</v>
      </c>
      <c r="O129" s="9" t="s">
        <v>739</v>
      </c>
    </row>
    <row r="130" spans="1:15" s="3" customFormat="1" ht="12" outlineLevel="1" thickTop="1" thickBot="1">
      <c r="A130" s="3" t="s">
        <v>229</v>
      </c>
      <c r="B130" s="15" t="s">
        <v>1075</v>
      </c>
      <c r="C130" s="15" t="s">
        <v>1093</v>
      </c>
      <c r="D130" s="17" t="s">
        <v>1075</v>
      </c>
      <c r="E130" s="19" t="s">
        <v>230</v>
      </c>
      <c r="F130" s="10">
        <v>0</v>
      </c>
      <c r="G130" s="7"/>
      <c r="H130" s="10">
        <v>0</v>
      </c>
      <c r="I130" s="10">
        <v>0</v>
      </c>
      <c r="J130" s="10">
        <v>0</v>
      </c>
      <c r="K130" s="10">
        <v>0</v>
      </c>
      <c r="L130" s="7"/>
      <c r="M130" s="10">
        <v>0</v>
      </c>
      <c r="N130" s="8" t="s">
        <v>739</v>
      </c>
      <c r="O130" s="9">
        <v>0</v>
      </c>
    </row>
    <row r="131" spans="1:15" s="3" customFormat="1" ht="11.25" outlineLevel="1" thickTop="1">
      <c r="A131" s="3" t="s">
        <v>231</v>
      </c>
      <c r="B131" s="15" t="s">
        <v>1075</v>
      </c>
      <c r="C131" s="15" t="s">
        <v>1075</v>
      </c>
      <c r="D131" s="17" t="s">
        <v>1075</v>
      </c>
      <c r="F131" s="6"/>
      <c r="G131" s="7"/>
      <c r="H131" s="6"/>
      <c r="I131" s="6"/>
      <c r="J131" s="6"/>
      <c r="K131" s="6"/>
      <c r="L131" s="7"/>
      <c r="M131" s="6"/>
      <c r="N131" s="8" t="s">
        <v>739</v>
      </c>
      <c r="O131" s="9" t="s">
        <v>739</v>
      </c>
    </row>
    <row r="132" spans="1:15" s="3" customFormat="1" ht="11.25" customHeight="1" outlineLevel="2" thickBot="1">
      <c r="A132" s="3" t="s">
        <v>232</v>
      </c>
      <c r="B132" s="15" t="s">
        <v>1075</v>
      </c>
      <c r="C132" s="15" t="s">
        <v>233</v>
      </c>
      <c r="D132" s="17" t="s">
        <v>1203</v>
      </c>
      <c r="E132" s="3" t="s">
        <v>234</v>
      </c>
      <c r="F132" s="20">
        <v>72</v>
      </c>
      <c r="G132" s="14"/>
      <c r="H132" s="20">
        <v>0</v>
      </c>
      <c r="I132" s="20">
        <v>72</v>
      </c>
      <c r="J132" s="20">
        <v>0</v>
      </c>
      <c r="K132" s="6">
        <f>IFERROR(ROUND(VLOOKUP(D132,#REF!,3,FALSE),0)/1000,0)</f>
        <v>0</v>
      </c>
      <c r="L132" s="14"/>
      <c r="M132" s="20">
        <v>-1</v>
      </c>
      <c r="N132" s="8">
        <v>-73</v>
      </c>
      <c r="O132" s="9">
        <v>73</v>
      </c>
    </row>
    <row r="133" spans="1:15" s="3" customFormat="1" ht="11.25" customHeight="1" outlineLevel="2" thickTop="1">
      <c r="B133" s="15"/>
      <c r="C133" s="15"/>
      <c r="D133" s="17" t="s">
        <v>1215</v>
      </c>
      <c r="E133" s="3" t="s">
        <v>289</v>
      </c>
      <c r="F133" s="6"/>
      <c r="G133" s="14"/>
      <c r="H133" s="6"/>
      <c r="I133" s="6"/>
      <c r="J133" s="6"/>
      <c r="K133" s="6">
        <f>IFERROR(ROUND(VLOOKUP(D133,#REF!,3,FALSE),0)/1000,0)</f>
        <v>0</v>
      </c>
      <c r="L133" s="14"/>
      <c r="M133" s="6"/>
      <c r="N133" s="8"/>
      <c r="O133" s="9"/>
    </row>
    <row r="134" spans="1:15" s="3" customFormat="1" ht="11.25" customHeight="1" outlineLevel="2">
      <c r="B134" s="15"/>
      <c r="C134" s="15"/>
      <c r="D134" s="17" t="s">
        <v>1195</v>
      </c>
      <c r="E134" s="3" t="s">
        <v>202</v>
      </c>
      <c r="F134" s="6"/>
      <c r="G134" s="14"/>
      <c r="H134" s="6"/>
      <c r="I134" s="6"/>
      <c r="J134" s="6"/>
      <c r="K134" s="6">
        <f>IFERROR(ROUND(VLOOKUP(D134,#REF!,3,FALSE),0)/1000,0)</f>
        <v>0</v>
      </c>
      <c r="L134" s="14"/>
      <c r="M134" s="6"/>
      <c r="N134" s="8"/>
      <c r="O134" s="9"/>
    </row>
    <row r="135" spans="1:15" s="3" customFormat="1" ht="11.25" customHeight="1" outlineLevel="2">
      <c r="B135" s="15"/>
      <c r="C135" s="15"/>
      <c r="D135" s="17" t="s">
        <v>1902</v>
      </c>
      <c r="E135" s="3" t="s">
        <v>1903</v>
      </c>
      <c r="F135" s="6"/>
      <c r="G135" s="14"/>
      <c r="H135" s="6"/>
      <c r="I135" s="6"/>
      <c r="J135" s="6"/>
      <c r="K135" s="6">
        <f>IFERROR(ROUND(VLOOKUP(D135,#REF!,3,FALSE),0)/1000,0)</f>
        <v>0</v>
      </c>
      <c r="L135" s="14"/>
      <c r="M135" s="6"/>
      <c r="N135" s="8"/>
      <c r="O135" s="9"/>
    </row>
    <row r="136" spans="1:15" s="3" customFormat="1" ht="11.25" customHeight="1" outlineLevel="2" thickBot="1">
      <c r="B136" s="15"/>
      <c r="C136" s="15"/>
      <c r="D136" s="17" t="s">
        <v>1204</v>
      </c>
      <c r="E136" s="3" t="s">
        <v>239</v>
      </c>
      <c r="F136" s="6"/>
      <c r="G136" s="14"/>
      <c r="H136" s="6"/>
      <c r="I136" s="6"/>
      <c r="J136" s="6"/>
      <c r="K136" s="6">
        <f>IFERROR(ROUND(VLOOKUP(D136,#REF!,3,FALSE),0)/1000,0)</f>
        <v>0</v>
      </c>
      <c r="L136" s="14"/>
      <c r="M136" s="6"/>
      <c r="N136" s="8"/>
      <c r="O136" s="9"/>
    </row>
    <row r="137" spans="1:15" s="3" customFormat="1" ht="12" outlineLevel="1" thickTop="1" thickBot="1">
      <c r="A137" s="3" t="s">
        <v>235</v>
      </c>
      <c r="B137" s="15" t="s">
        <v>1075</v>
      </c>
      <c r="C137" s="15" t="s">
        <v>233</v>
      </c>
      <c r="D137" s="17" t="s">
        <v>1075</v>
      </c>
      <c r="E137" s="19" t="s">
        <v>236</v>
      </c>
      <c r="F137" s="30">
        <v>72</v>
      </c>
      <c r="G137" s="7"/>
      <c r="H137" s="30">
        <v>0</v>
      </c>
      <c r="I137" s="30">
        <v>72</v>
      </c>
      <c r="J137" s="30">
        <v>0</v>
      </c>
      <c r="K137" s="30">
        <f>SUM(K132:K136)</f>
        <v>0</v>
      </c>
      <c r="L137" s="7"/>
      <c r="M137" s="30">
        <v>-1</v>
      </c>
      <c r="N137" s="8">
        <v>-73</v>
      </c>
      <c r="O137" s="9">
        <v>73</v>
      </c>
    </row>
    <row r="138" spans="1:15" s="3" customFormat="1" ht="11.25" outlineLevel="1" thickTop="1">
      <c r="B138" s="15"/>
      <c r="C138" s="15"/>
      <c r="D138" s="17"/>
      <c r="F138" s="6"/>
      <c r="G138" s="7"/>
      <c r="H138" s="6"/>
      <c r="I138" s="6"/>
      <c r="J138" s="6"/>
      <c r="K138" s="6"/>
      <c r="L138" s="7"/>
      <c r="M138" s="6"/>
      <c r="N138" s="8"/>
      <c r="O138" s="9"/>
    </row>
    <row r="139" spans="1:15" s="3" customFormat="1" outlineLevel="1">
      <c r="B139" s="15"/>
      <c r="C139" s="15"/>
      <c r="D139" s="17" t="s">
        <v>1904</v>
      </c>
      <c r="E139" s="3" t="s">
        <v>1905</v>
      </c>
      <c r="F139" s="6"/>
      <c r="G139" s="7"/>
      <c r="H139" s="6"/>
      <c r="I139" s="6"/>
      <c r="J139" s="6"/>
      <c r="K139" s="6">
        <f>IFERROR(ROUND(VLOOKUP(D139,#REF!,3,FALSE),0)/1000,0)</f>
        <v>0</v>
      </c>
      <c r="L139" s="7"/>
      <c r="M139" s="6"/>
      <c r="N139" s="8"/>
      <c r="O139" s="9"/>
    </row>
    <row r="140" spans="1:15" s="3" customFormat="1" ht="11.25" outlineLevel="1" thickBot="1">
      <c r="B140" s="15"/>
      <c r="C140" s="15"/>
      <c r="D140" s="17" t="s">
        <v>1558</v>
      </c>
      <c r="E140" s="3" t="s">
        <v>1557</v>
      </c>
      <c r="F140" s="6"/>
      <c r="G140" s="7"/>
      <c r="H140" s="6"/>
      <c r="I140" s="6"/>
      <c r="J140" s="6"/>
      <c r="K140" s="6">
        <f>IFERROR(ROUND(VLOOKUP(D140,#REF!,3,FALSE),0)/1000,0)</f>
        <v>0</v>
      </c>
      <c r="L140" s="7"/>
      <c r="M140" s="6"/>
      <c r="N140" s="8"/>
      <c r="O140" s="9"/>
    </row>
    <row r="141" spans="1:15" s="3" customFormat="1" ht="12" outlineLevel="1" thickTop="1" thickBot="1">
      <c r="B141" s="15"/>
      <c r="C141" s="15"/>
      <c r="D141" s="17"/>
      <c r="F141" s="6"/>
      <c r="G141" s="7"/>
      <c r="H141" s="6"/>
      <c r="I141" s="6"/>
      <c r="J141" s="6"/>
      <c r="K141" s="30">
        <f>SUM(K139:K140)</f>
        <v>0</v>
      </c>
      <c r="L141" s="7"/>
      <c r="M141" s="6"/>
      <c r="N141" s="8"/>
      <c r="O141" s="9"/>
    </row>
    <row r="142" spans="1:15" s="3" customFormat="1" ht="11.25" outlineLevel="1" thickTop="1">
      <c r="A142" s="3" t="s">
        <v>237</v>
      </c>
      <c r="B142" s="15" t="s">
        <v>1075</v>
      </c>
      <c r="C142" s="15" t="s">
        <v>1075</v>
      </c>
      <c r="D142" s="17" t="s">
        <v>1075</v>
      </c>
      <c r="F142" s="6"/>
      <c r="G142" s="7"/>
      <c r="H142" s="6"/>
      <c r="I142" s="6"/>
      <c r="J142" s="6"/>
      <c r="K142" s="6"/>
      <c r="L142" s="7"/>
      <c r="M142" s="6"/>
      <c r="N142" s="8" t="s">
        <v>739</v>
      </c>
      <c r="O142" s="9" t="s">
        <v>739</v>
      </c>
    </row>
    <row r="143" spans="1:15" s="3" customFormat="1" ht="11.25" customHeight="1" outlineLevel="2" thickBot="1">
      <c r="A143" s="3" t="s">
        <v>238</v>
      </c>
      <c r="B143" s="15" t="s">
        <v>1075</v>
      </c>
      <c r="C143" s="15" t="s">
        <v>1094</v>
      </c>
      <c r="D143" s="17" t="s">
        <v>1204</v>
      </c>
      <c r="E143" s="3" t="s">
        <v>239</v>
      </c>
      <c r="F143" s="20">
        <v>0</v>
      </c>
      <c r="G143" s="14"/>
      <c r="H143" s="20">
        <v>0</v>
      </c>
      <c r="I143" s="20">
        <v>0</v>
      </c>
      <c r="J143" s="20">
        <v>0</v>
      </c>
      <c r="K143" s="6">
        <f>IFERROR(ROUND(VLOOKUP(D143,#REF!,3,FALSE),0)/1000,0)</f>
        <v>0</v>
      </c>
      <c r="L143" s="14"/>
      <c r="M143" s="20">
        <v>0</v>
      </c>
      <c r="N143" s="8" t="s">
        <v>739</v>
      </c>
      <c r="O143" s="9">
        <v>0</v>
      </c>
    </row>
    <row r="144" spans="1:15" s="3" customFormat="1" ht="12" outlineLevel="1" thickTop="1" thickBot="1">
      <c r="A144" s="3" t="s">
        <v>240</v>
      </c>
      <c r="B144" s="15" t="s">
        <v>1075</v>
      </c>
      <c r="C144" s="15" t="s">
        <v>1094</v>
      </c>
      <c r="D144" s="17" t="s">
        <v>1075</v>
      </c>
      <c r="E144" s="19" t="s">
        <v>241</v>
      </c>
      <c r="F144" s="30">
        <v>0</v>
      </c>
      <c r="G144" s="7"/>
      <c r="H144" s="30">
        <v>0</v>
      </c>
      <c r="I144" s="30">
        <v>0</v>
      </c>
      <c r="J144" s="30">
        <v>0</v>
      </c>
      <c r="K144" s="30">
        <f>SUM(K143)</f>
        <v>0</v>
      </c>
      <c r="L144" s="7"/>
      <c r="M144" s="30">
        <v>0</v>
      </c>
      <c r="N144" s="8" t="s">
        <v>739</v>
      </c>
      <c r="O144" s="9">
        <v>0</v>
      </c>
    </row>
    <row r="145" spans="1:15" s="3" customFormat="1" ht="11.25" outlineLevel="1" thickTop="1">
      <c r="A145" s="3" t="s">
        <v>242</v>
      </c>
      <c r="B145" s="15" t="s">
        <v>1075</v>
      </c>
      <c r="C145" s="15" t="s">
        <v>1075</v>
      </c>
      <c r="D145" s="17" t="s">
        <v>1075</v>
      </c>
      <c r="F145" s="6"/>
      <c r="G145" s="7"/>
      <c r="H145" s="6"/>
      <c r="I145" s="6"/>
      <c r="J145" s="6"/>
      <c r="K145" s="6"/>
      <c r="L145" s="7"/>
      <c r="M145" s="6"/>
      <c r="N145" s="8" t="s">
        <v>739</v>
      </c>
      <c r="O145" s="9" t="s">
        <v>739</v>
      </c>
    </row>
    <row r="146" spans="1:15" s="3" customFormat="1" ht="10.5" customHeight="1" outlineLevel="2">
      <c r="A146" s="3" t="s">
        <v>243</v>
      </c>
      <c r="B146" s="15" t="s">
        <v>1075</v>
      </c>
      <c r="C146" s="15" t="s">
        <v>1095</v>
      </c>
      <c r="D146" s="17" t="s">
        <v>1205</v>
      </c>
      <c r="E146" s="3" t="s">
        <v>244</v>
      </c>
      <c r="F146" s="6">
        <v>22963</v>
      </c>
      <c r="G146" s="7"/>
      <c r="H146" s="6">
        <v>0</v>
      </c>
      <c r="I146" s="6">
        <v>22963</v>
      </c>
      <c r="J146" s="6">
        <v>0</v>
      </c>
      <c r="K146" s="6">
        <f>IFERROR(ROUND(VLOOKUP(D146,#REF!,3,FALSE),0)/1000,0)</f>
        <v>0</v>
      </c>
      <c r="L146" s="7"/>
      <c r="M146" s="6">
        <v>33021</v>
      </c>
      <c r="N146" s="8">
        <v>-0.30459404621301595</v>
      </c>
      <c r="O146" s="9">
        <v>-10058</v>
      </c>
    </row>
    <row r="147" spans="1:15" s="3" customFormat="1" ht="11.25" customHeight="1" outlineLevel="2" thickBot="1">
      <c r="A147" s="3" t="s">
        <v>245</v>
      </c>
      <c r="B147" s="15" t="s">
        <v>1075</v>
      </c>
      <c r="C147" s="15" t="s">
        <v>1095</v>
      </c>
      <c r="D147" s="17" t="s">
        <v>1206</v>
      </c>
      <c r="E147" s="3" t="s">
        <v>246</v>
      </c>
      <c r="F147" s="20">
        <v>0</v>
      </c>
      <c r="G147" s="14"/>
      <c r="H147" s="20">
        <v>0</v>
      </c>
      <c r="I147" s="20">
        <v>0</v>
      </c>
      <c r="J147" s="20">
        <v>0</v>
      </c>
      <c r="K147" s="6">
        <f>IFERROR(ROUND(VLOOKUP(D147,#REF!,3,FALSE),0)/1000,0)</f>
        <v>0</v>
      </c>
      <c r="L147" s="14"/>
      <c r="M147" s="20">
        <v>15000</v>
      </c>
      <c r="N147" s="8">
        <v>-1</v>
      </c>
      <c r="O147" s="9">
        <v>-15000</v>
      </c>
    </row>
    <row r="148" spans="1:15" s="3" customFormat="1" ht="12" outlineLevel="1" thickTop="1" thickBot="1">
      <c r="A148" s="3" t="s">
        <v>247</v>
      </c>
      <c r="B148" s="15" t="s">
        <v>1075</v>
      </c>
      <c r="C148" s="15" t="s">
        <v>1095</v>
      </c>
      <c r="D148" s="17" t="s">
        <v>1075</v>
      </c>
      <c r="E148" s="19" t="s">
        <v>248</v>
      </c>
      <c r="F148" s="30">
        <v>22963</v>
      </c>
      <c r="G148" s="7"/>
      <c r="H148" s="30">
        <v>0</v>
      </c>
      <c r="I148" s="30">
        <v>22963</v>
      </c>
      <c r="J148" s="30">
        <v>0</v>
      </c>
      <c r="K148" s="30">
        <f>SUM(K146:K147)</f>
        <v>0</v>
      </c>
      <c r="L148" s="7"/>
      <c r="M148" s="30">
        <v>48021</v>
      </c>
      <c r="N148" s="8">
        <v>-0.52181337331584099</v>
      </c>
      <c r="O148" s="9">
        <v>-25058</v>
      </c>
    </row>
    <row r="149" spans="1:15" s="3" customFormat="1" ht="12" outlineLevel="1" thickTop="1" thickBot="1">
      <c r="A149" s="3" t="s">
        <v>249</v>
      </c>
      <c r="B149" s="15" t="s">
        <v>1075</v>
      </c>
      <c r="C149" s="15" t="s">
        <v>1075</v>
      </c>
      <c r="D149" s="17" t="s">
        <v>1075</v>
      </c>
      <c r="F149" s="6"/>
      <c r="G149" s="7"/>
      <c r="H149" s="6"/>
      <c r="I149" s="6"/>
      <c r="J149" s="6"/>
      <c r="K149" s="6"/>
      <c r="L149" s="7"/>
      <c r="M149" s="6"/>
      <c r="N149" s="8" t="s">
        <v>739</v>
      </c>
      <c r="O149" s="9" t="s">
        <v>739</v>
      </c>
    </row>
    <row r="150" spans="1:15" s="3" customFormat="1" ht="12" outlineLevel="1" thickTop="1" thickBot="1">
      <c r="A150" s="3" t="s">
        <v>250</v>
      </c>
      <c r="B150" s="15" t="s">
        <v>1075</v>
      </c>
      <c r="C150" s="15" t="s">
        <v>251</v>
      </c>
      <c r="D150" s="17" t="s">
        <v>1075</v>
      </c>
      <c r="E150" s="19" t="s">
        <v>252</v>
      </c>
      <c r="F150" s="10">
        <v>0</v>
      </c>
      <c r="G150" s="7"/>
      <c r="H150" s="10">
        <v>0</v>
      </c>
      <c r="I150" s="10">
        <v>0</v>
      </c>
      <c r="J150" s="10">
        <v>0</v>
      </c>
      <c r="K150" s="10">
        <v>0</v>
      </c>
      <c r="L150" s="7"/>
      <c r="M150" s="10">
        <v>0</v>
      </c>
      <c r="N150" s="8" t="s">
        <v>739</v>
      </c>
      <c r="O150" s="9">
        <v>0</v>
      </c>
    </row>
    <row r="151" spans="1:15" s="3" customFormat="1" ht="11.25" outlineLevel="1" thickTop="1">
      <c r="A151" s="3" t="s">
        <v>253</v>
      </c>
      <c r="B151" s="15" t="s">
        <v>1075</v>
      </c>
      <c r="C151" s="15" t="s">
        <v>1075</v>
      </c>
      <c r="D151" s="17" t="s">
        <v>1075</v>
      </c>
      <c r="F151" s="6"/>
      <c r="G151" s="7"/>
      <c r="H151" s="6"/>
      <c r="I151" s="6"/>
      <c r="J151" s="6"/>
      <c r="K151" s="6"/>
      <c r="L151" s="7"/>
      <c r="M151" s="6"/>
      <c r="N151" s="8" t="s">
        <v>739</v>
      </c>
      <c r="O151" s="9" t="s">
        <v>739</v>
      </c>
    </row>
    <row r="152" spans="1:15" s="3" customFormat="1" ht="10.5" customHeight="1" outlineLevel="2">
      <c r="A152" s="3" t="s">
        <v>254</v>
      </c>
      <c r="B152" s="15" t="s">
        <v>1075</v>
      </c>
      <c r="C152" s="15" t="s">
        <v>1096</v>
      </c>
      <c r="D152" s="17" t="s">
        <v>1207</v>
      </c>
      <c r="E152" s="3" t="s">
        <v>255</v>
      </c>
      <c r="F152" s="6">
        <v>-1170</v>
      </c>
      <c r="G152" s="7"/>
      <c r="H152" s="6">
        <v>0</v>
      </c>
      <c r="I152" s="6">
        <v>-1170</v>
      </c>
      <c r="J152" s="6">
        <v>0</v>
      </c>
      <c r="K152" s="6">
        <f>-IFERROR(ROUND(VLOOKUP(D152,#REF!,4,FALSE),0)/1000,0)</f>
        <v>0</v>
      </c>
      <c r="L152" s="7"/>
      <c r="M152" s="6">
        <v>-1651</v>
      </c>
      <c r="N152" s="8">
        <v>-0.29133858267716534</v>
      </c>
      <c r="O152" s="9">
        <v>481</v>
      </c>
    </row>
    <row r="153" spans="1:15" s="3" customFormat="1" ht="10.5" customHeight="1" outlineLevel="2">
      <c r="A153" s="3" t="s">
        <v>1333</v>
      </c>
      <c r="B153" s="15" t="s">
        <v>1075</v>
      </c>
      <c r="C153" s="15" t="s">
        <v>1096</v>
      </c>
      <c r="D153" s="17" t="s">
        <v>1216</v>
      </c>
      <c r="E153" s="17" t="s">
        <v>290</v>
      </c>
      <c r="F153" s="6">
        <v>-221</v>
      </c>
      <c r="G153" s="14"/>
      <c r="H153" s="6">
        <v>0</v>
      </c>
      <c r="I153" s="6">
        <v>-221</v>
      </c>
      <c r="J153" s="6">
        <v>0</v>
      </c>
      <c r="K153" s="6">
        <f>-IFERROR(ROUND(VLOOKUP(D153,#REF!,4,FALSE),0)/1000,0)</f>
        <v>0</v>
      </c>
      <c r="L153" s="14"/>
      <c r="M153" s="6">
        <v>-87</v>
      </c>
      <c r="N153" s="8">
        <v>1.5402298850574712</v>
      </c>
      <c r="O153" s="9">
        <v>-134</v>
      </c>
    </row>
    <row r="154" spans="1:15" s="3" customFormat="1" ht="10.5" customHeight="1" outlineLevel="2">
      <c r="A154" s="3" t="s">
        <v>256</v>
      </c>
      <c r="B154" s="15" t="s">
        <v>1075</v>
      </c>
      <c r="C154" s="15" t="s">
        <v>1096</v>
      </c>
      <c r="D154" s="17" t="s">
        <v>1208</v>
      </c>
      <c r="E154" s="3" t="s">
        <v>257</v>
      </c>
      <c r="F154" s="6">
        <v>-152</v>
      </c>
      <c r="G154" s="7"/>
      <c r="H154" s="6">
        <v>0</v>
      </c>
      <c r="I154" s="6">
        <v>-152</v>
      </c>
      <c r="J154" s="6">
        <v>0</v>
      </c>
      <c r="K154" s="6">
        <f>-IFERROR(ROUND(VLOOKUP(D154,#REF!,4,FALSE),0)/1000,0)</f>
        <v>0</v>
      </c>
      <c r="L154" s="7"/>
      <c r="M154" s="6">
        <v>-215</v>
      </c>
      <c r="N154" s="8">
        <v>-0.2930232558139535</v>
      </c>
      <c r="O154" s="9">
        <v>63</v>
      </c>
    </row>
    <row r="155" spans="1:15" s="3" customFormat="1" ht="11.25" customHeight="1" outlineLevel="2" thickBot="1">
      <c r="A155" s="3" t="s">
        <v>259</v>
      </c>
      <c r="B155" s="15" t="s">
        <v>1075</v>
      </c>
      <c r="C155" s="15" t="s">
        <v>1096</v>
      </c>
      <c r="D155" s="17" t="s">
        <v>1210</v>
      </c>
      <c r="E155" s="3" t="s">
        <v>260</v>
      </c>
      <c r="F155" s="20">
        <v>-992</v>
      </c>
      <c r="G155" s="14"/>
      <c r="H155" s="20">
        <v>0</v>
      </c>
      <c r="I155" s="20">
        <v>-992</v>
      </c>
      <c r="J155" s="20">
        <v>0</v>
      </c>
      <c r="K155" s="6">
        <f>-IFERROR(ROUND(VLOOKUP(D155,#REF!,4,FALSE),0)/1000,0)</f>
        <v>0</v>
      </c>
      <c r="L155" s="14"/>
      <c r="M155" s="20">
        <v>-800</v>
      </c>
      <c r="N155" s="8">
        <v>0.24124999999999999</v>
      </c>
      <c r="O155" s="9">
        <v>-193</v>
      </c>
    </row>
    <row r="156" spans="1:15" s="3" customFormat="1" ht="12" outlineLevel="1" thickTop="1" thickBot="1">
      <c r="A156" s="3" t="s">
        <v>261</v>
      </c>
      <c r="B156" s="15" t="s">
        <v>1075</v>
      </c>
      <c r="C156" s="15" t="s">
        <v>1096</v>
      </c>
      <c r="D156" s="17" t="s">
        <v>1075</v>
      </c>
      <c r="E156" s="19" t="s">
        <v>262</v>
      </c>
      <c r="F156" s="30">
        <v>-2535</v>
      </c>
      <c r="G156" s="7"/>
      <c r="H156" s="30">
        <v>0</v>
      </c>
      <c r="I156" s="30">
        <v>-2535</v>
      </c>
      <c r="J156" s="30">
        <v>0</v>
      </c>
      <c r="K156" s="30">
        <f>SUM(K152:K155)</f>
        <v>0</v>
      </c>
      <c r="L156" s="7"/>
      <c r="M156" s="30">
        <v>-2753</v>
      </c>
      <c r="N156" s="8">
        <v>-7.8823102070468581E-2</v>
      </c>
      <c r="O156" s="9">
        <v>217</v>
      </c>
    </row>
    <row r="157" spans="1:15" s="3" customFormat="1" ht="11.25" outlineLevel="1" thickTop="1">
      <c r="A157" s="3" t="s">
        <v>263</v>
      </c>
      <c r="B157" s="15" t="s">
        <v>1075</v>
      </c>
      <c r="C157" s="15" t="s">
        <v>1075</v>
      </c>
      <c r="D157" s="17" t="s">
        <v>1075</v>
      </c>
      <c r="F157" s="6"/>
      <c r="G157" s="7"/>
      <c r="H157" s="6"/>
      <c r="I157" s="6"/>
      <c r="J157" s="6"/>
      <c r="K157" s="6"/>
      <c r="L157" s="7"/>
      <c r="M157" s="6"/>
      <c r="N157" s="8" t="s">
        <v>739</v>
      </c>
      <c r="O157" s="9" t="s">
        <v>739</v>
      </c>
    </row>
    <row r="158" spans="1:15" s="3" customFormat="1" ht="10.5" customHeight="1" outlineLevel="2">
      <c r="A158" s="3" t="s">
        <v>1335</v>
      </c>
      <c r="B158" s="15" t="s">
        <v>1075</v>
      </c>
      <c r="C158" s="15" t="s">
        <v>1097</v>
      </c>
      <c r="D158" s="17" t="s">
        <v>1218</v>
      </c>
      <c r="E158" s="17" t="s">
        <v>293</v>
      </c>
      <c r="F158" s="6">
        <v>-22</v>
      </c>
      <c r="G158" s="14"/>
      <c r="H158" s="6">
        <v>0</v>
      </c>
      <c r="I158" s="6">
        <v>-22</v>
      </c>
      <c r="J158" s="6">
        <v>0</v>
      </c>
      <c r="K158" s="6">
        <f>-IFERROR(ROUND(VLOOKUP(D158,#REF!,4,FALSE),0)/1000,0)</f>
        <v>0</v>
      </c>
      <c r="L158" s="14"/>
      <c r="M158" s="6">
        <v>-27</v>
      </c>
      <c r="N158" s="8">
        <v>-0.18518518518518517</v>
      </c>
      <c r="O158" s="9">
        <v>5</v>
      </c>
    </row>
    <row r="159" spans="1:15" s="3" customFormat="1" ht="11.25" customHeight="1" outlineLevel="2" thickBot="1">
      <c r="A159" s="3" t="s">
        <v>264</v>
      </c>
      <c r="B159" s="15" t="s">
        <v>1075</v>
      </c>
      <c r="C159" s="15" t="s">
        <v>1097</v>
      </c>
      <c r="D159" s="17" t="s">
        <v>1211</v>
      </c>
      <c r="E159" s="3" t="s">
        <v>265</v>
      </c>
      <c r="F159" s="20">
        <v>-168</v>
      </c>
      <c r="G159" s="14"/>
      <c r="H159" s="20">
        <v>0</v>
      </c>
      <c r="I159" s="20">
        <v>-168</v>
      </c>
      <c r="J159" s="20">
        <v>0</v>
      </c>
      <c r="K159" s="6">
        <f>-IFERROR(ROUND(VLOOKUP(D159,#REF!,4,FALSE),0)/1000,0)</f>
        <v>0</v>
      </c>
      <c r="L159" s="14"/>
      <c r="M159" s="20">
        <v>-208</v>
      </c>
      <c r="N159" s="8">
        <v>-0.19230769230769232</v>
      </c>
      <c r="O159" s="9">
        <v>40</v>
      </c>
    </row>
    <row r="160" spans="1:15" s="3" customFormat="1" ht="12" outlineLevel="1" thickTop="1" thickBot="1">
      <c r="A160" s="3" t="s">
        <v>266</v>
      </c>
      <c r="B160" s="15" t="s">
        <v>1075</v>
      </c>
      <c r="C160" s="15" t="s">
        <v>1097</v>
      </c>
      <c r="D160" s="17" t="s">
        <v>1075</v>
      </c>
      <c r="E160" s="19" t="s">
        <v>267</v>
      </c>
      <c r="F160" s="30">
        <v>-190</v>
      </c>
      <c r="G160" s="7"/>
      <c r="H160" s="30">
        <v>0</v>
      </c>
      <c r="I160" s="30">
        <v>-190</v>
      </c>
      <c r="J160" s="30">
        <v>0</v>
      </c>
      <c r="K160" s="30">
        <f>SUM(K158:K159)</f>
        <v>0</v>
      </c>
      <c r="L160" s="7"/>
      <c r="M160" s="30">
        <v>-235</v>
      </c>
      <c r="N160" s="8">
        <v>-0.19148936170212766</v>
      </c>
      <c r="O160" s="9">
        <v>45</v>
      </c>
    </row>
    <row r="161" spans="1:15" s="3" customFormat="1" ht="11.25" outlineLevel="1" thickTop="1">
      <c r="A161" s="3" t="s">
        <v>268</v>
      </c>
      <c r="B161" s="15" t="s">
        <v>1075</v>
      </c>
      <c r="C161" s="15" t="s">
        <v>1075</v>
      </c>
      <c r="D161" s="17" t="s">
        <v>1075</v>
      </c>
      <c r="F161" s="6"/>
      <c r="G161" s="7"/>
      <c r="H161" s="6"/>
      <c r="I161" s="6"/>
      <c r="J161" s="6"/>
      <c r="K161" s="6"/>
      <c r="L161" s="7"/>
      <c r="M161" s="6"/>
      <c r="N161" s="8" t="s">
        <v>739</v>
      </c>
      <c r="O161" s="9" t="s">
        <v>739</v>
      </c>
    </row>
    <row r="162" spans="1:15" s="3" customFormat="1" ht="11.25" customHeight="1" outlineLevel="2" thickBot="1">
      <c r="A162" s="3" t="s">
        <v>269</v>
      </c>
      <c r="B162" s="15" t="s">
        <v>1075</v>
      </c>
      <c r="C162" s="15" t="s">
        <v>1098</v>
      </c>
      <c r="D162" s="17" t="s">
        <v>1212</v>
      </c>
      <c r="E162" s="3" t="s">
        <v>270</v>
      </c>
      <c r="F162" s="20">
        <v>-1378</v>
      </c>
      <c r="G162" s="14"/>
      <c r="H162" s="20">
        <v>0</v>
      </c>
      <c r="I162" s="20">
        <v>-1378</v>
      </c>
      <c r="J162" s="20">
        <v>0</v>
      </c>
      <c r="K162" s="6">
        <f>-IFERROR(ROUND(VLOOKUP(D162,#REF!,4,FALSE),0)/1000,0)</f>
        <v>0</v>
      </c>
      <c r="L162" s="14"/>
      <c r="M162" s="20">
        <v>-1826</v>
      </c>
      <c r="N162" s="8">
        <v>-0.24534501642935377</v>
      </c>
      <c r="O162" s="9">
        <v>448</v>
      </c>
    </row>
    <row r="163" spans="1:15" s="3" customFormat="1" ht="12" outlineLevel="1" thickTop="1" thickBot="1">
      <c r="A163" s="3" t="s">
        <v>271</v>
      </c>
      <c r="B163" s="15" t="s">
        <v>1075</v>
      </c>
      <c r="C163" s="15" t="s">
        <v>1098</v>
      </c>
      <c r="D163" s="17" t="s">
        <v>1075</v>
      </c>
      <c r="E163" s="19" t="s">
        <v>272</v>
      </c>
      <c r="F163" s="30">
        <v>-1378</v>
      </c>
      <c r="G163" s="7"/>
      <c r="H163" s="30">
        <v>0</v>
      </c>
      <c r="I163" s="30">
        <v>-1378</v>
      </c>
      <c r="J163" s="30">
        <v>0</v>
      </c>
      <c r="K163" s="30">
        <f>SUM(K162)</f>
        <v>0</v>
      </c>
      <c r="L163" s="7"/>
      <c r="M163" s="30">
        <v>-1826</v>
      </c>
      <c r="N163" s="8">
        <v>-0.24534501642935377</v>
      </c>
      <c r="O163" s="9">
        <v>448</v>
      </c>
    </row>
    <row r="164" spans="1:15" s="3" customFormat="1" ht="11.25" outlineLevel="1" thickTop="1">
      <c r="A164" s="3" t="s">
        <v>273</v>
      </c>
      <c r="B164" s="15" t="s">
        <v>1075</v>
      </c>
      <c r="C164" s="15" t="s">
        <v>1075</v>
      </c>
      <c r="D164" s="17" t="s">
        <v>1075</v>
      </c>
      <c r="F164" s="6"/>
      <c r="G164" s="7"/>
      <c r="H164" s="6"/>
      <c r="I164" s="6"/>
      <c r="J164" s="6"/>
      <c r="K164" s="6"/>
      <c r="L164" s="7"/>
      <c r="M164" s="6"/>
      <c r="N164" s="8" t="s">
        <v>739</v>
      </c>
      <c r="O164" s="9" t="s">
        <v>739</v>
      </c>
    </row>
    <row r="165" spans="1:15" s="3" customFormat="1" ht="11.25" customHeight="1" outlineLevel="2" thickBot="1">
      <c r="A165" s="3" t="s">
        <v>274</v>
      </c>
      <c r="B165" s="15" t="s">
        <v>1075</v>
      </c>
      <c r="C165" s="15" t="s">
        <v>1099</v>
      </c>
      <c r="D165" s="17" t="s">
        <v>1213</v>
      </c>
      <c r="E165" s="3" t="s">
        <v>275</v>
      </c>
      <c r="F165" s="20">
        <v>-2079</v>
      </c>
      <c r="G165" s="14"/>
      <c r="H165" s="20">
        <v>0</v>
      </c>
      <c r="I165" s="20">
        <v>-2079</v>
      </c>
      <c r="J165" s="20">
        <v>0</v>
      </c>
      <c r="K165" s="6">
        <f>-IFERROR(ROUND(VLOOKUP(D165,#REF!,4,FALSE),0)/1000,0)</f>
        <v>0</v>
      </c>
      <c r="L165" s="14"/>
      <c r="M165" s="20">
        <v>-2079</v>
      </c>
      <c r="N165" s="8">
        <v>0</v>
      </c>
      <c r="O165" s="9">
        <v>0</v>
      </c>
    </row>
    <row r="166" spans="1:15" s="3" customFormat="1" ht="12" outlineLevel="1" thickTop="1" thickBot="1">
      <c r="A166" s="3" t="s">
        <v>276</v>
      </c>
      <c r="B166" s="15" t="s">
        <v>1075</v>
      </c>
      <c r="C166" s="15" t="s">
        <v>1099</v>
      </c>
      <c r="D166" s="17" t="s">
        <v>1075</v>
      </c>
      <c r="E166" s="19" t="s">
        <v>277</v>
      </c>
      <c r="F166" s="30">
        <v>-2079</v>
      </c>
      <c r="G166" s="7"/>
      <c r="H166" s="30">
        <v>0</v>
      </c>
      <c r="I166" s="30">
        <v>-2079</v>
      </c>
      <c r="J166" s="30">
        <v>0</v>
      </c>
      <c r="K166" s="30">
        <f>SUM(K165)</f>
        <v>0</v>
      </c>
      <c r="L166" s="7"/>
      <c r="M166" s="30">
        <v>-2079</v>
      </c>
      <c r="N166" s="8">
        <v>0</v>
      </c>
      <c r="O166" s="9">
        <v>0</v>
      </c>
    </row>
    <row r="167" spans="1:15" s="3" customFormat="1" ht="11.25" outlineLevel="1" thickTop="1">
      <c r="A167" s="3" t="s">
        <v>278</v>
      </c>
      <c r="B167" s="15" t="s">
        <v>1075</v>
      </c>
      <c r="C167" s="15" t="s">
        <v>1075</v>
      </c>
      <c r="D167" s="17" t="s">
        <v>1075</v>
      </c>
      <c r="F167" s="6"/>
      <c r="G167" s="7"/>
      <c r="H167" s="6"/>
      <c r="I167" s="6"/>
      <c r="J167" s="6"/>
      <c r="K167" s="6"/>
      <c r="L167" s="7"/>
      <c r="M167" s="6"/>
      <c r="N167" s="8" t="s">
        <v>739</v>
      </c>
      <c r="O167" s="9" t="s">
        <v>739</v>
      </c>
    </row>
    <row r="168" spans="1:15" s="3" customFormat="1" ht="11.25" customHeight="1" outlineLevel="2" thickBot="1">
      <c r="A168" s="3" t="s">
        <v>279</v>
      </c>
      <c r="B168" s="15" t="s">
        <v>1075</v>
      </c>
      <c r="C168" s="15" t="s">
        <v>280</v>
      </c>
      <c r="D168" s="17" t="s">
        <v>1214</v>
      </c>
      <c r="E168" s="3" t="s">
        <v>281</v>
      </c>
      <c r="F168" s="20">
        <v>0</v>
      </c>
      <c r="G168" s="14"/>
      <c r="H168" s="20">
        <v>0</v>
      </c>
      <c r="I168" s="20">
        <v>0</v>
      </c>
      <c r="J168" s="20">
        <v>0</v>
      </c>
      <c r="K168" s="6">
        <f>-IFERROR(ROUND(VLOOKUP(D168,#REF!,4,FALSE),0)/1000,0)</f>
        <v>0</v>
      </c>
      <c r="L168" s="14"/>
      <c r="M168" s="20">
        <v>-39299</v>
      </c>
      <c r="N168" s="8">
        <v>-1</v>
      </c>
      <c r="O168" s="9">
        <v>39299</v>
      </c>
    </row>
    <row r="169" spans="1:15" s="3" customFormat="1" ht="12" outlineLevel="1" thickTop="1" thickBot="1">
      <c r="A169" s="3" t="s">
        <v>282</v>
      </c>
      <c r="B169" s="15" t="s">
        <v>1075</v>
      </c>
      <c r="C169" s="15" t="s">
        <v>280</v>
      </c>
      <c r="D169" s="17" t="s">
        <v>1075</v>
      </c>
      <c r="E169" s="19" t="s">
        <v>283</v>
      </c>
      <c r="F169" s="30">
        <v>0</v>
      </c>
      <c r="G169" s="7"/>
      <c r="H169" s="30">
        <v>0</v>
      </c>
      <c r="I169" s="30">
        <v>0</v>
      </c>
      <c r="J169" s="30">
        <v>0</v>
      </c>
      <c r="K169" s="30">
        <f>SUM(K168)</f>
        <v>0</v>
      </c>
      <c r="L169" s="7"/>
      <c r="M169" s="30">
        <v>-39299</v>
      </c>
      <c r="N169" s="8">
        <v>-1</v>
      </c>
      <c r="O169" s="9">
        <v>39299</v>
      </c>
    </row>
    <row r="170" spans="1:15" s="3" customFormat="1" ht="12" outlineLevel="1" thickTop="1" thickBot="1">
      <c r="A170" s="3" t="s">
        <v>284</v>
      </c>
      <c r="B170" s="15" t="s">
        <v>1075</v>
      </c>
      <c r="C170" s="15" t="s">
        <v>1075</v>
      </c>
      <c r="D170" s="17" t="s">
        <v>1075</v>
      </c>
      <c r="F170" s="6"/>
      <c r="G170" s="7"/>
      <c r="H170" s="6"/>
      <c r="I170" s="6"/>
      <c r="J170" s="6"/>
      <c r="K170" s="6"/>
      <c r="L170" s="7"/>
      <c r="M170" s="6"/>
      <c r="N170" s="8" t="s">
        <v>739</v>
      </c>
      <c r="O170" s="9" t="s">
        <v>739</v>
      </c>
    </row>
    <row r="171" spans="1:15" s="3" customFormat="1" ht="12" outlineLevel="1" thickTop="1" thickBot="1">
      <c r="A171" s="3" t="s">
        <v>285</v>
      </c>
      <c r="B171" s="15" t="s">
        <v>1075</v>
      </c>
      <c r="C171" s="15" t="s">
        <v>1100</v>
      </c>
      <c r="D171" s="17" t="s">
        <v>1075</v>
      </c>
      <c r="E171" s="19" t="s">
        <v>286</v>
      </c>
      <c r="F171" s="10">
        <v>0</v>
      </c>
      <c r="G171" s="7"/>
      <c r="H171" s="10">
        <v>0</v>
      </c>
      <c r="I171" s="10">
        <v>0</v>
      </c>
      <c r="J171" s="10">
        <v>0</v>
      </c>
      <c r="K171" s="10">
        <v>0</v>
      </c>
      <c r="L171" s="7"/>
      <c r="M171" s="10">
        <v>0</v>
      </c>
      <c r="N171" s="8" t="s">
        <v>739</v>
      </c>
      <c r="O171" s="9">
        <v>0</v>
      </c>
    </row>
    <row r="172" spans="1:15" s="3" customFormat="1" ht="11.25" outlineLevel="1" thickTop="1">
      <c r="A172" s="3" t="s">
        <v>287</v>
      </c>
      <c r="B172" s="15" t="s">
        <v>1075</v>
      </c>
      <c r="C172" s="15" t="s">
        <v>1075</v>
      </c>
      <c r="D172" s="17" t="s">
        <v>1075</v>
      </c>
      <c r="F172" s="6"/>
      <c r="G172" s="7"/>
      <c r="H172" s="6"/>
      <c r="I172" s="6"/>
      <c r="J172" s="6"/>
      <c r="K172" s="6"/>
      <c r="L172" s="7"/>
      <c r="M172" s="6"/>
      <c r="N172" s="8" t="s">
        <v>739</v>
      </c>
      <c r="O172" s="9" t="s">
        <v>739</v>
      </c>
    </row>
    <row r="173" spans="1:15" s="3" customFormat="1" ht="10.5" customHeight="1" outlineLevel="2">
      <c r="A173" s="3" t="s">
        <v>288</v>
      </c>
      <c r="B173" s="15" t="s">
        <v>1075</v>
      </c>
      <c r="C173" s="15" t="s">
        <v>1101</v>
      </c>
      <c r="D173" s="17" t="s">
        <v>1215</v>
      </c>
      <c r="E173" s="3" t="s">
        <v>289</v>
      </c>
      <c r="F173" s="6">
        <v>0</v>
      </c>
      <c r="G173" s="7"/>
      <c r="H173" s="6">
        <v>0</v>
      </c>
      <c r="I173" s="6">
        <v>0</v>
      </c>
      <c r="J173" s="6">
        <v>0</v>
      </c>
      <c r="K173" s="6">
        <f>-IFERROR(ROUND(VLOOKUP(D173,#REF!,4,FALSE),0)/1000,0)</f>
        <v>0</v>
      </c>
      <c r="L173" s="7"/>
      <c r="M173" s="6">
        <v>0</v>
      </c>
      <c r="N173" s="8" t="s">
        <v>739</v>
      </c>
      <c r="O173" s="9">
        <v>0</v>
      </c>
    </row>
    <row r="174" spans="1:15" s="3" customFormat="1" ht="10.5" customHeight="1" outlineLevel="2">
      <c r="A174" s="3" t="s">
        <v>291</v>
      </c>
      <c r="B174" s="15" t="s">
        <v>1075</v>
      </c>
      <c r="C174" s="15" t="s">
        <v>1101</v>
      </c>
      <c r="D174" s="17" t="s">
        <v>1217</v>
      </c>
      <c r="E174" s="3" t="s">
        <v>292</v>
      </c>
      <c r="F174" s="6">
        <v>-16590</v>
      </c>
      <c r="G174" s="7"/>
      <c r="H174" s="6">
        <v>0</v>
      </c>
      <c r="I174" s="6">
        <v>-16590</v>
      </c>
      <c r="J174" s="6">
        <v>0</v>
      </c>
      <c r="K174" s="6">
        <f>-IFERROR(ROUND(VLOOKUP(D174,#REF!,4,FALSE),0)/1000,0)</f>
        <v>0</v>
      </c>
      <c r="L174" s="7"/>
      <c r="M174" s="6">
        <v>-16590</v>
      </c>
      <c r="N174" s="8">
        <v>0</v>
      </c>
      <c r="O174" s="9">
        <v>0</v>
      </c>
    </row>
    <row r="175" spans="1:15" s="3" customFormat="1" ht="10.5" customHeight="1" outlineLevel="2">
      <c r="A175" s="3" t="s">
        <v>294</v>
      </c>
      <c r="B175" s="15" t="s">
        <v>1075</v>
      </c>
      <c r="C175" s="15" t="s">
        <v>1101</v>
      </c>
      <c r="D175" s="17" t="s">
        <v>1219</v>
      </c>
      <c r="E175" s="3" t="s">
        <v>295</v>
      </c>
      <c r="F175" s="6">
        <v>-4746</v>
      </c>
      <c r="G175" s="7"/>
      <c r="H175" s="6">
        <v>0</v>
      </c>
      <c r="I175" s="6">
        <v>-4746</v>
      </c>
      <c r="J175" s="6">
        <v>0</v>
      </c>
      <c r="K175" s="6">
        <f>-IFERROR(ROUND(VLOOKUP(D175,#REF!,4,FALSE),0)/1000,0)</f>
        <v>0</v>
      </c>
      <c r="L175" s="7"/>
      <c r="M175" s="6">
        <v>-4746</v>
      </c>
      <c r="N175" s="8">
        <v>0</v>
      </c>
      <c r="O175" s="9">
        <v>0</v>
      </c>
    </row>
    <row r="176" spans="1:15" s="3" customFormat="1" ht="10.5" customHeight="1" outlineLevel="2">
      <c r="A176" s="3" t="s">
        <v>296</v>
      </c>
      <c r="B176" s="15" t="s">
        <v>1075</v>
      </c>
      <c r="C176" s="15" t="s">
        <v>1101</v>
      </c>
      <c r="D176" s="17" t="s">
        <v>1220</v>
      </c>
      <c r="E176" s="3" t="s">
        <v>297</v>
      </c>
      <c r="F176" s="6">
        <v>0</v>
      </c>
      <c r="G176" s="7"/>
      <c r="H176" s="6">
        <v>0</v>
      </c>
      <c r="I176" s="6">
        <v>0</v>
      </c>
      <c r="J176" s="6">
        <v>0</v>
      </c>
      <c r="K176" s="6">
        <f>-IFERROR(ROUND(VLOOKUP(D176,#REF!,4,FALSE),0)/1000,0)</f>
        <v>0</v>
      </c>
      <c r="L176" s="7"/>
      <c r="M176" s="6">
        <v>0</v>
      </c>
      <c r="N176" s="8" t="s">
        <v>739</v>
      </c>
      <c r="O176" s="9">
        <v>0</v>
      </c>
    </row>
    <row r="177" spans="1:15" s="3" customFormat="1" ht="10.5" customHeight="1" outlineLevel="2">
      <c r="A177" s="3" t="s">
        <v>298</v>
      </c>
      <c r="B177" s="15" t="s">
        <v>1075</v>
      </c>
      <c r="C177" s="15" t="s">
        <v>1101</v>
      </c>
      <c r="D177" s="17" t="s">
        <v>1221</v>
      </c>
      <c r="E177" s="3" t="s">
        <v>299</v>
      </c>
      <c r="F177" s="6">
        <v>0</v>
      </c>
      <c r="G177" s="7"/>
      <c r="H177" s="6">
        <v>0</v>
      </c>
      <c r="I177" s="6">
        <v>0</v>
      </c>
      <c r="J177" s="6">
        <v>0</v>
      </c>
      <c r="K177" s="6">
        <f>-IFERROR(ROUND(VLOOKUP(D177,#REF!,4,FALSE),0)/1000,0)</f>
        <v>0</v>
      </c>
      <c r="L177" s="7"/>
      <c r="M177" s="6">
        <v>-1087</v>
      </c>
      <c r="N177" s="8">
        <v>-1</v>
      </c>
      <c r="O177" s="9">
        <v>1087</v>
      </c>
    </row>
    <row r="178" spans="1:15" s="3" customFormat="1" ht="10.5" customHeight="1" outlineLevel="2">
      <c r="A178" s="3" t="s">
        <v>300</v>
      </c>
      <c r="B178" s="15" t="s">
        <v>1075</v>
      </c>
      <c r="C178" s="15" t="s">
        <v>1101</v>
      </c>
      <c r="D178" s="17" t="s">
        <v>1222</v>
      </c>
      <c r="E178" s="3" t="s">
        <v>301</v>
      </c>
      <c r="F178" s="6">
        <v>-24</v>
      </c>
      <c r="G178" s="7"/>
      <c r="H178" s="6">
        <v>0</v>
      </c>
      <c r="I178" s="6">
        <v>-24</v>
      </c>
      <c r="J178" s="6">
        <v>0</v>
      </c>
      <c r="K178" s="6">
        <f>-IFERROR(ROUND(VLOOKUP(D178,#REF!,4,FALSE),0)/1000,0)</f>
        <v>0</v>
      </c>
      <c r="L178" s="7"/>
      <c r="M178" s="6">
        <v>-2</v>
      </c>
      <c r="N178" s="8">
        <v>11</v>
      </c>
      <c r="O178" s="9">
        <v>-22</v>
      </c>
    </row>
    <row r="179" spans="1:15" s="3" customFormat="1" ht="10.5" customHeight="1" outlineLevel="2">
      <c r="A179" s="3" t="s">
        <v>302</v>
      </c>
      <c r="B179" s="15" t="s">
        <v>1075</v>
      </c>
      <c r="C179" s="15" t="s">
        <v>1101</v>
      </c>
      <c r="D179" s="17" t="s">
        <v>1223</v>
      </c>
      <c r="E179" s="3" t="s">
        <v>303</v>
      </c>
      <c r="F179" s="6">
        <v>0</v>
      </c>
      <c r="G179" s="7"/>
      <c r="H179" s="6">
        <v>0</v>
      </c>
      <c r="I179" s="6">
        <v>0</v>
      </c>
      <c r="J179" s="6">
        <v>0</v>
      </c>
      <c r="K179" s="6">
        <f>-IFERROR(ROUND(VLOOKUP(D179,#REF!,4,FALSE),0)/1000,0)</f>
        <v>0</v>
      </c>
      <c r="L179" s="7"/>
      <c r="M179" s="6">
        <v>0</v>
      </c>
      <c r="N179" s="8" t="s">
        <v>739</v>
      </c>
      <c r="O179" s="9">
        <v>0</v>
      </c>
    </row>
    <row r="180" spans="1:15" s="3" customFormat="1" ht="10.5" customHeight="1" outlineLevel="2">
      <c r="A180" s="3" t="s">
        <v>304</v>
      </c>
      <c r="B180" s="15" t="s">
        <v>1075</v>
      </c>
      <c r="C180" s="15" t="s">
        <v>1101</v>
      </c>
      <c r="D180" s="17" t="s">
        <v>1224</v>
      </c>
      <c r="E180" s="3" t="s">
        <v>305</v>
      </c>
      <c r="F180" s="6">
        <v>-5037</v>
      </c>
      <c r="G180" s="7"/>
      <c r="H180" s="6">
        <v>0</v>
      </c>
      <c r="I180" s="6">
        <v>-5037</v>
      </c>
      <c r="J180" s="6">
        <v>0</v>
      </c>
      <c r="K180" s="6">
        <f>-IFERROR(ROUND(VLOOKUP(D180,#REF!,4,FALSE),0)/1000,0)</f>
        <v>0</v>
      </c>
      <c r="L180" s="7"/>
      <c r="M180" s="6">
        <v>-3173</v>
      </c>
      <c r="N180" s="8">
        <v>0.58745666561613619</v>
      </c>
      <c r="O180" s="9">
        <v>-1864</v>
      </c>
    </row>
    <row r="181" spans="1:15" s="3" customFormat="1" ht="10.5" customHeight="1" outlineLevel="2">
      <c r="A181" s="3" t="s">
        <v>306</v>
      </c>
      <c r="B181" s="15" t="s">
        <v>1075</v>
      </c>
      <c r="C181" s="15" t="s">
        <v>1101</v>
      </c>
      <c r="D181" s="17" t="s">
        <v>1225</v>
      </c>
      <c r="E181" s="3" t="s">
        <v>307</v>
      </c>
      <c r="F181" s="6">
        <v>-360</v>
      </c>
      <c r="G181" s="7"/>
      <c r="H181" s="6">
        <v>0</v>
      </c>
      <c r="I181" s="6">
        <v>-360</v>
      </c>
      <c r="J181" s="6">
        <v>0</v>
      </c>
      <c r="K181" s="6">
        <f>-IFERROR(ROUND(VLOOKUP(D181,#REF!,4,FALSE),0)/1000,0)</f>
        <v>0</v>
      </c>
      <c r="L181" s="7"/>
      <c r="M181" s="6">
        <v>-419</v>
      </c>
      <c r="N181" s="8">
        <v>-0.14081145584725538</v>
      </c>
      <c r="O181" s="9">
        <v>59</v>
      </c>
    </row>
    <row r="182" spans="1:15" s="3" customFormat="1" ht="10.5" customHeight="1" outlineLevel="2">
      <c r="A182" s="3" t="s">
        <v>308</v>
      </c>
      <c r="B182" s="15" t="s">
        <v>1075</v>
      </c>
      <c r="C182" s="15" t="s">
        <v>1101</v>
      </c>
      <c r="D182" s="17" t="s">
        <v>1226</v>
      </c>
      <c r="E182" s="3" t="s">
        <v>309</v>
      </c>
      <c r="F182" s="6">
        <v>-85</v>
      </c>
      <c r="G182" s="7"/>
      <c r="H182" s="6">
        <v>0</v>
      </c>
      <c r="I182" s="6">
        <v>-85</v>
      </c>
      <c r="J182" s="6">
        <v>0</v>
      </c>
      <c r="K182" s="6">
        <f>-IFERROR(ROUND(VLOOKUP(D182,#REF!,4,FALSE),0)/1000,0)</f>
        <v>0</v>
      </c>
      <c r="L182" s="7"/>
      <c r="M182" s="6">
        <v>-1058</v>
      </c>
      <c r="N182" s="8">
        <v>-0.91965973534971646</v>
      </c>
      <c r="O182" s="9">
        <v>973</v>
      </c>
    </row>
    <row r="183" spans="1:15" s="3" customFormat="1" ht="10.5" customHeight="1" outlineLevel="2">
      <c r="A183" s="3" t="s">
        <v>310</v>
      </c>
      <c r="B183" s="15" t="s">
        <v>1075</v>
      </c>
      <c r="C183" s="15" t="s">
        <v>1101</v>
      </c>
      <c r="D183" s="17" t="s">
        <v>1227</v>
      </c>
      <c r="E183" s="3" t="s">
        <v>311</v>
      </c>
      <c r="F183" s="6">
        <v>0</v>
      </c>
      <c r="G183" s="7"/>
      <c r="H183" s="6">
        <v>0</v>
      </c>
      <c r="I183" s="6">
        <v>0</v>
      </c>
      <c r="J183" s="6">
        <v>0</v>
      </c>
      <c r="K183" s="6">
        <f>-IFERROR(ROUND(VLOOKUP(D183,#REF!,4,FALSE),0)/1000,0)</f>
        <v>0</v>
      </c>
      <c r="L183" s="7"/>
      <c r="M183" s="6">
        <v>0</v>
      </c>
      <c r="N183" s="8" t="s">
        <v>739</v>
      </c>
      <c r="O183" s="9">
        <v>0</v>
      </c>
    </row>
    <row r="184" spans="1:15" s="3" customFormat="1" ht="10.5" customHeight="1" outlineLevel="2">
      <c r="A184" s="3" t="s">
        <v>1334</v>
      </c>
      <c r="B184" s="15" t="s">
        <v>1075</v>
      </c>
      <c r="C184" s="15" t="s">
        <v>1101</v>
      </c>
      <c r="D184" s="17" t="s">
        <v>1209</v>
      </c>
      <c r="E184" s="17" t="s">
        <v>258</v>
      </c>
      <c r="F184" s="6">
        <v>-60</v>
      </c>
      <c r="G184" s="14"/>
      <c r="H184" s="6">
        <v>0</v>
      </c>
      <c r="I184" s="6">
        <v>-60</v>
      </c>
      <c r="J184" s="6">
        <v>0</v>
      </c>
      <c r="K184" s="6">
        <f>-IFERROR(ROUND(VLOOKUP(D184,#REF!,4,FALSE),0)/1000,0)</f>
        <v>0</v>
      </c>
      <c r="L184" s="14"/>
      <c r="M184" s="6">
        <v>-60</v>
      </c>
      <c r="N184" s="8">
        <v>0</v>
      </c>
      <c r="O184" s="9">
        <v>0</v>
      </c>
    </row>
    <row r="185" spans="1:15" s="3" customFormat="1" ht="10.5" customHeight="1" outlineLevel="2">
      <c r="A185" s="3" t="s">
        <v>312</v>
      </c>
      <c r="B185" s="15" t="s">
        <v>1075</v>
      </c>
      <c r="C185" s="15" t="s">
        <v>1101</v>
      </c>
      <c r="D185" s="17" t="s">
        <v>1228</v>
      </c>
      <c r="E185" s="3" t="s">
        <v>313</v>
      </c>
      <c r="F185" s="6">
        <v>0</v>
      </c>
      <c r="G185" s="7"/>
      <c r="H185" s="6">
        <v>0</v>
      </c>
      <c r="I185" s="6">
        <v>0</v>
      </c>
      <c r="J185" s="6">
        <v>0</v>
      </c>
      <c r="K185" s="6">
        <f>-IFERROR(ROUND(VLOOKUP(D185,#REF!,4,FALSE),0)/1000,0)</f>
        <v>0</v>
      </c>
      <c r="L185" s="7"/>
      <c r="M185" s="6">
        <v>-1</v>
      </c>
      <c r="N185" s="8">
        <v>-1</v>
      </c>
      <c r="O185" s="9">
        <v>1</v>
      </c>
    </row>
    <row r="186" spans="1:15" s="3" customFormat="1" ht="10.5" customHeight="1" outlineLevel="2">
      <c r="A186" s="3" t="s">
        <v>314</v>
      </c>
      <c r="B186" s="15" t="s">
        <v>1075</v>
      </c>
      <c r="C186" s="15" t="s">
        <v>1101</v>
      </c>
      <c r="D186" s="17" t="s">
        <v>1229</v>
      </c>
      <c r="E186" s="3" t="s">
        <v>315</v>
      </c>
      <c r="F186" s="6">
        <v>0</v>
      </c>
      <c r="G186" s="7"/>
      <c r="H186" s="6">
        <v>0</v>
      </c>
      <c r="I186" s="6">
        <v>0</v>
      </c>
      <c r="J186" s="6">
        <v>0</v>
      </c>
      <c r="K186" s="6">
        <f>-IFERROR(ROUND(VLOOKUP(D186,#REF!,4,FALSE),0)/1000,0)</f>
        <v>0</v>
      </c>
      <c r="L186" s="7"/>
      <c r="M186" s="6">
        <v>0</v>
      </c>
      <c r="N186" s="8" t="s">
        <v>739</v>
      </c>
      <c r="O186" s="9">
        <v>0</v>
      </c>
    </row>
    <row r="187" spans="1:15" s="3" customFormat="1" ht="10.5" customHeight="1" outlineLevel="2">
      <c r="A187" s="3" t="s">
        <v>316</v>
      </c>
      <c r="B187" s="15" t="s">
        <v>1075</v>
      </c>
      <c r="C187" s="15" t="s">
        <v>1101</v>
      </c>
      <c r="D187" s="17" t="s">
        <v>1230</v>
      </c>
      <c r="E187" s="3" t="s">
        <v>317</v>
      </c>
      <c r="F187" s="6">
        <v>-40</v>
      </c>
      <c r="G187" s="7"/>
      <c r="H187" s="6">
        <v>0</v>
      </c>
      <c r="I187" s="6">
        <v>-40</v>
      </c>
      <c r="J187" s="6">
        <v>0</v>
      </c>
      <c r="K187" s="6">
        <f>-IFERROR(ROUND(VLOOKUP(D187,#REF!,4,FALSE),0)/1000,0)</f>
        <v>0</v>
      </c>
      <c r="L187" s="7"/>
      <c r="M187" s="6">
        <v>-80</v>
      </c>
      <c r="N187" s="8">
        <v>-0.5</v>
      </c>
      <c r="O187" s="9">
        <v>40</v>
      </c>
    </row>
    <row r="188" spans="1:15" s="3" customFormat="1" ht="10.5" customHeight="1" outlineLevel="2">
      <c r="A188" s="3" t="s">
        <v>1340</v>
      </c>
      <c r="B188" s="15" t="s">
        <v>1075</v>
      </c>
      <c r="C188" s="15" t="s">
        <v>1101</v>
      </c>
      <c r="D188" s="17" t="s">
        <v>1342</v>
      </c>
      <c r="E188" s="17" t="s">
        <v>1341</v>
      </c>
      <c r="F188" s="6">
        <v>-70</v>
      </c>
      <c r="G188" s="14"/>
      <c r="H188" s="6">
        <v>0</v>
      </c>
      <c r="I188" s="6">
        <v>-70</v>
      </c>
      <c r="J188" s="6">
        <v>0</v>
      </c>
      <c r="K188" s="6">
        <f>-IFERROR(ROUND(VLOOKUP(D188,#REF!,4,FALSE),0)/1000,0)</f>
        <v>0</v>
      </c>
      <c r="L188" s="14"/>
      <c r="M188" s="6">
        <v>-2611</v>
      </c>
      <c r="N188" s="8">
        <v>-0.97319034852546915</v>
      </c>
      <c r="O188" s="9">
        <v>2541</v>
      </c>
    </row>
    <row r="189" spans="1:15" s="3" customFormat="1" ht="11.25" customHeight="1" outlineLevel="2" thickBot="1">
      <c r="A189" s="3" t="s">
        <v>318</v>
      </c>
      <c r="B189" s="15" t="s">
        <v>1075</v>
      </c>
      <c r="C189" s="15" t="s">
        <v>1101</v>
      </c>
      <c r="D189" s="17" t="s">
        <v>319</v>
      </c>
      <c r="E189" s="3" t="s">
        <v>320</v>
      </c>
      <c r="F189" s="20">
        <v>0</v>
      </c>
      <c r="G189" s="14"/>
      <c r="H189" s="20">
        <v>0</v>
      </c>
      <c r="I189" s="20">
        <v>0</v>
      </c>
      <c r="J189" s="20">
        <v>0</v>
      </c>
      <c r="K189" s="6">
        <f>-IFERROR(ROUND(VLOOKUP(D189,#REF!,4,FALSE),0)/1000,0)</f>
        <v>0</v>
      </c>
      <c r="L189" s="14"/>
      <c r="M189" s="20">
        <v>0</v>
      </c>
      <c r="N189" s="8" t="s">
        <v>739</v>
      </c>
      <c r="O189" s="9">
        <v>0</v>
      </c>
    </row>
    <row r="190" spans="1:15" s="3" customFormat="1" ht="12" outlineLevel="1" thickTop="1" thickBot="1">
      <c r="A190" s="3" t="s">
        <v>321</v>
      </c>
      <c r="B190" s="15" t="s">
        <v>1075</v>
      </c>
      <c r="C190" s="15" t="s">
        <v>1101</v>
      </c>
      <c r="D190" s="17" t="s">
        <v>1075</v>
      </c>
      <c r="E190" s="19" t="s">
        <v>322</v>
      </c>
      <c r="F190" s="30">
        <v>-27012</v>
      </c>
      <c r="G190" s="7"/>
      <c r="H190" s="30">
        <v>0</v>
      </c>
      <c r="I190" s="30">
        <v>-27012</v>
      </c>
      <c r="J190" s="30">
        <v>0</v>
      </c>
      <c r="K190" s="30">
        <f>SUM(K173:K189)</f>
        <v>0</v>
      </c>
      <c r="L190" s="7"/>
      <c r="M190" s="30">
        <v>-29827</v>
      </c>
      <c r="N190" s="8">
        <v>-9.4377577362792106E-2</v>
      </c>
      <c r="O190" s="9">
        <v>2815</v>
      </c>
    </row>
    <row r="191" spans="1:15" s="3" customFormat="1" ht="11.25" outlineLevel="1" thickTop="1">
      <c r="A191" s="3" t="s">
        <v>323</v>
      </c>
      <c r="B191" s="15" t="s">
        <v>1075</v>
      </c>
      <c r="C191" s="15" t="s">
        <v>1075</v>
      </c>
      <c r="D191" s="17" t="s">
        <v>1075</v>
      </c>
      <c r="F191" s="6"/>
      <c r="G191" s="7"/>
      <c r="H191" s="6"/>
      <c r="I191" s="6"/>
      <c r="J191" s="6"/>
      <c r="K191" s="6"/>
      <c r="L191" s="7"/>
      <c r="M191" s="6"/>
      <c r="N191" s="8" t="s">
        <v>739</v>
      </c>
      <c r="O191" s="9" t="s">
        <v>739</v>
      </c>
    </row>
    <row r="192" spans="1:15" s="3" customFormat="1" ht="11.25" customHeight="1" outlineLevel="2" thickBot="1">
      <c r="A192" s="3" t="s">
        <v>324</v>
      </c>
      <c r="B192" s="15" t="s">
        <v>1075</v>
      </c>
      <c r="C192" s="15" t="s">
        <v>325</v>
      </c>
      <c r="D192" s="17" t="s">
        <v>1231</v>
      </c>
      <c r="E192" s="3" t="s">
        <v>326</v>
      </c>
      <c r="F192" s="20">
        <v>0</v>
      </c>
      <c r="G192" s="14"/>
      <c r="H192" s="20">
        <v>0</v>
      </c>
      <c r="I192" s="20">
        <v>0</v>
      </c>
      <c r="J192" s="20">
        <v>0</v>
      </c>
      <c r="K192" s="6">
        <f>-IFERROR(ROUND(VLOOKUP(D192,#REF!,4,FALSE),0)/1000,0)</f>
        <v>0</v>
      </c>
      <c r="L192" s="14"/>
      <c r="M192" s="20">
        <v>0</v>
      </c>
      <c r="N192" s="8" t="s">
        <v>739</v>
      </c>
      <c r="O192" s="9">
        <v>0</v>
      </c>
    </row>
    <row r="193" spans="1:17" s="3" customFormat="1" ht="12" outlineLevel="1" thickTop="1" thickBot="1">
      <c r="A193" s="3" t="s">
        <v>327</v>
      </c>
      <c r="B193" s="15" t="s">
        <v>1075</v>
      </c>
      <c r="C193" s="15" t="s">
        <v>325</v>
      </c>
      <c r="D193" s="17" t="s">
        <v>1075</v>
      </c>
      <c r="E193" s="19" t="s">
        <v>328</v>
      </c>
      <c r="F193" s="30">
        <v>0</v>
      </c>
      <c r="G193" s="7"/>
      <c r="H193" s="30">
        <v>0</v>
      </c>
      <c r="I193" s="30">
        <v>0</v>
      </c>
      <c r="J193" s="30">
        <v>0</v>
      </c>
      <c r="K193" s="30">
        <v>0</v>
      </c>
      <c r="L193" s="7"/>
      <c r="M193" s="30">
        <v>0</v>
      </c>
      <c r="N193" s="8" t="s">
        <v>739</v>
      </c>
      <c r="O193" s="9">
        <v>0</v>
      </c>
    </row>
    <row r="194" spans="1:17" s="3" customFormat="1" ht="12" outlineLevel="1" thickTop="1" thickBot="1">
      <c r="A194" s="3" t="s">
        <v>329</v>
      </c>
      <c r="B194" s="15" t="s">
        <v>1075</v>
      </c>
      <c r="C194" s="15" t="s">
        <v>1075</v>
      </c>
      <c r="D194" s="17" t="s">
        <v>1075</v>
      </c>
      <c r="F194" s="6"/>
      <c r="G194" s="7"/>
      <c r="H194" s="6"/>
      <c r="I194" s="6"/>
      <c r="J194" s="6"/>
      <c r="K194" s="6"/>
      <c r="L194" s="7"/>
      <c r="M194" s="6"/>
      <c r="N194" s="8" t="s">
        <v>739</v>
      </c>
      <c r="O194" s="9" t="s">
        <v>739</v>
      </c>
    </row>
    <row r="195" spans="1:17" s="3" customFormat="1" ht="12" outlineLevel="1" thickTop="1" thickBot="1">
      <c r="A195" s="3" t="s">
        <v>330</v>
      </c>
      <c r="B195" s="15" t="s">
        <v>1075</v>
      </c>
      <c r="C195" s="15" t="s">
        <v>1102</v>
      </c>
      <c r="D195" s="17" t="s">
        <v>1075</v>
      </c>
      <c r="E195" s="19" t="s">
        <v>331</v>
      </c>
      <c r="F195" s="10">
        <v>0</v>
      </c>
      <c r="G195" s="7"/>
      <c r="H195" s="10">
        <v>0</v>
      </c>
      <c r="I195" s="10">
        <v>0</v>
      </c>
      <c r="J195" s="10">
        <v>0</v>
      </c>
      <c r="K195" s="10">
        <v>0</v>
      </c>
      <c r="L195" s="7"/>
      <c r="M195" s="10">
        <v>0</v>
      </c>
      <c r="N195" s="8" t="s">
        <v>739</v>
      </c>
      <c r="O195" s="9">
        <v>0</v>
      </c>
    </row>
    <row r="196" spans="1:17" s="3" customFormat="1" ht="12" outlineLevel="1" thickTop="1" thickBot="1">
      <c r="A196" s="3" t="s">
        <v>332</v>
      </c>
      <c r="B196" s="15" t="s">
        <v>1075</v>
      </c>
      <c r="C196" s="15" t="s">
        <v>1075</v>
      </c>
      <c r="D196" s="17" t="s">
        <v>1075</v>
      </c>
      <c r="F196" s="6"/>
      <c r="G196" s="7"/>
      <c r="H196" s="6"/>
      <c r="I196" s="6"/>
      <c r="J196" s="6"/>
      <c r="K196" s="6"/>
      <c r="L196" s="7"/>
      <c r="M196" s="6"/>
      <c r="N196" s="8" t="s">
        <v>739</v>
      </c>
      <c r="O196" s="9" t="s">
        <v>739</v>
      </c>
    </row>
    <row r="197" spans="1:17" s="3" customFormat="1" ht="12" outlineLevel="1" thickTop="1" thickBot="1">
      <c r="A197" s="3" t="s">
        <v>333</v>
      </c>
      <c r="B197" s="15" t="s">
        <v>1075</v>
      </c>
      <c r="C197" s="15" t="s">
        <v>1103</v>
      </c>
      <c r="D197" s="17" t="s">
        <v>1075</v>
      </c>
      <c r="E197" s="19" t="s">
        <v>334</v>
      </c>
      <c r="F197" s="10">
        <v>0</v>
      </c>
      <c r="G197" s="7"/>
      <c r="H197" s="10">
        <v>0</v>
      </c>
      <c r="I197" s="10">
        <v>0</v>
      </c>
      <c r="J197" s="10">
        <v>0</v>
      </c>
      <c r="K197" s="10">
        <v>0</v>
      </c>
      <c r="L197" s="7"/>
      <c r="M197" s="10">
        <v>0</v>
      </c>
      <c r="N197" s="8" t="s">
        <v>739</v>
      </c>
      <c r="O197" s="9">
        <v>0</v>
      </c>
    </row>
    <row r="198" spans="1:17" s="3" customFormat="1" ht="12" outlineLevel="1" thickTop="1" thickBot="1">
      <c r="A198" s="3" t="s">
        <v>335</v>
      </c>
      <c r="B198" s="15" t="s">
        <v>1075</v>
      </c>
      <c r="C198" s="15" t="s">
        <v>1075</v>
      </c>
      <c r="D198" s="17" t="s">
        <v>1075</v>
      </c>
      <c r="F198" s="6"/>
      <c r="G198" s="7"/>
      <c r="H198" s="6"/>
      <c r="I198" s="6"/>
      <c r="J198" s="6"/>
      <c r="K198" s="6"/>
      <c r="L198" s="7"/>
      <c r="M198" s="6"/>
      <c r="N198" s="8" t="s">
        <v>739</v>
      </c>
      <c r="O198" s="9" t="s">
        <v>739</v>
      </c>
    </row>
    <row r="199" spans="1:17" s="3" customFormat="1" ht="12" outlineLevel="1" thickTop="1" thickBot="1">
      <c r="A199" s="3" t="s">
        <v>336</v>
      </c>
      <c r="B199" s="15" t="s">
        <v>1075</v>
      </c>
      <c r="C199" s="15" t="s">
        <v>1104</v>
      </c>
      <c r="D199" s="17" t="s">
        <v>1075</v>
      </c>
      <c r="E199" s="19" t="s">
        <v>337</v>
      </c>
      <c r="F199" s="10">
        <v>0</v>
      </c>
      <c r="G199" s="7"/>
      <c r="H199" s="10">
        <v>0</v>
      </c>
      <c r="I199" s="10">
        <v>0</v>
      </c>
      <c r="J199" s="10">
        <v>0</v>
      </c>
      <c r="K199" s="10">
        <v>0</v>
      </c>
      <c r="L199" s="7"/>
      <c r="M199" s="10">
        <v>0</v>
      </c>
      <c r="N199" s="8" t="s">
        <v>739</v>
      </c>
      <c r="O199" s="9">
        <v>0</v>
      </c>
    </row>
    <row r="200" spans="1:17" s="3" customFormat="1" ht="11.25" outlineLevel="1" thickTop="1">
      <c r="A200" s="3" t="s">
        <v>338</v>
      </c>
      <c r="B200" s="15" t="s">
        <v>1075</v>
      </c>
      <c r="C200" s="15" t="s">
        <v>1075</v>
      </c>
      <c r="D200" s="17" t="s">
        <v>1075</v>
      </c>
      <c r="F200" s="6"/>
      <c r="G200" s="7"/>
      <c r="H200" s="6"/>
      <c r="I200" s="6"/>
      <c r="J200" s="6"/>
      <c r="K200" s="6"/>
      <c r="L200" s="7"/>
      <c r="M200" s="6"/>
      <c r="N200" s="8" t="s">
        <v>739</v>
      </c>
      <c r="O200" s="9" t="s">
        <v>739</v>
      </c>
    </row>
    <row r="201" spans="1:17" s="3" customFormat="1" ht="11.25" customHeight="1" outlineLevel="2" thickBot="1">
      <c r="A201" s="3" t="s">
        <v>339</v>
      </c>
      <c r="B201" s="15" t="s">
        <v>1075</v>
      </c>
      <c r="C201" s="15" t="s">
        <v>1105</v>
      </c>
      <c r="D201" s="17" t="s">
        <v>1232</v>
      </c>
      <c r="E201" s="3" t="s">
        <v>340</v>
      </c>
      <c r="F201" s="20">
        <v>27</v>
      </c>
      <c r="G201" s="14"/>
      <c r="H201" s="20">
        <v>0</v>
      </c>
      <c r="I201" s="20">
        <v>27</v>
      </c>
      <c r="J201" s="20">
        <v>0</v>
      </c>
      <c r="K201" s="6">
        <f>IFERROR(ROUND(VLOOKUP(D201,#REF!,3,FALSE),0)/1000,0)</f>
        <v>0</v>
      </c>
      <c r="L201" s="14"/>
      <c r="M201" s="20">
        <v>3054</v>
      </c>
      <c r="N201" s="8">
        <v>-0.99115913555992141</v>
      </c>
      <c r="O201" s="9">
        <v>-3027</v>
      </c>
    </row>
    <row r="202" spans="1:17" s="3" customFormat="1" ht="12" outlineLevel="1" thickTop="1" thickBot="1">
      <c r="A202" s="3" t="s">
        <v>341</v>
      </c>
      <c r="B202" s="15" t="s">
        <v>1075</v>
      </c>
      <c r="C202" s="15" t="s">
        <v>1105</v>
      </c>
      <c r="D202" s="17" t="s">
        <v>1075</v>
      </c>
      <c r="E202" s="19" t="s">
        <v>342</v>
      </c>
      <c r="F202" s="30">
        <v>27</v>
      </c>
      <c r="G202" s="7"/>
      <c r="H202" s="30">
        <v>0</v>
      </c>
      <c r="I202" s="30">
        <v>27</v>
      </c>
      <c r="J202" s="30">
        <v>0</v>
      </c>
      <c r="K202" s="30">
        <f>SUM(K201)</f>
        <v>0</v>
      </c>
      <c r="L202" s="7"/>
      <c r="M202" s="30">
        <v>3054</v>
      </c>
      <c r="N202" s="8">
        <v>-0.99115913555992141</v>
      </c>
      <c r="O202" s="9">
        <v>-3027</v>
      </c>
    </row>
    <row r="203" spans="1:17" s="3" customFormat="1" ht="11.25" outlineLevel="1" thickTop="1">
      <c r="A203" s="3" t="s">
        <v>343</v>
      </c>
      <c r="B203" s="15" t="s">
        <v>1075</v>
      </c>
      <c r="C203" s="15" t="s">
        <v>1075</v>
      </c>
      <c r="D203" s="17" t="s">
        <v>1075</v>
      </c>
      <c r="F203" s="6"/>
      <c r="G203" s="7"/>
      <c r="H203" s="6"/>
      <c r="I203" s="6"/>
      <c r="J203" s="6"/>
      <c r="K203" s="6"/>
      <c r="L203" s="7"/>
      <c r="M203" s="6"/>
      <c r="N203" s="8" t="s">
        <v>739</v>
      </c>
      <c r="O203" s="9" t="s">
        <v>739</v>
      </c>
    </row>
    <row r="204" spans="1:17" s="3" customFormat="1" ht="11.25" customHeight="1" outlineLevel="2" thickBot="1">
      <c r="A204" s="3" t="s">
        <v>344</v>
      </c>
      <c r="B204" s="15" t="s">
        <v>1075</v>
      </c>
      <c r="C204" s="15" t="s">
        <v>1106</v>
      </c>
      <c r="D204" s="17" t="s">
        <v>1233</v>
      </c>
      <c r="E204" s="3" t="s">
        <v>345</v>
      </c>
      <c r="F204" s="20">
        <v>0</v>
      </c>
      <c r="G204" s="14"/>
      <c r="H204" s="20">
        <v>0</v>
      </c>
      <c r="I204" s="20">
        <v>0</v>
      </c>
      <c r="J204" s="20">
        <v>0</v>
      </c>
      <c r="K204" s="20">
        <v>0</v>
      </c>
      <c r="L204" s="14"/>
      <c r="M204" s="20">
        <v>63768</v>
      </c>
      <c r="N204" s="8">
        <v>-1</v>
      </c>
      <c r="O204" s="9">
        <v>-63768</v>
      </c>
    </row>
    <row r="205" spans="1:17" s="3" customFormat="1" ht="12" outlineLevel="1" thickTop="1" thickBot="1">
      <c r="A205" s="3" t="s">
        <v>346</v>
      </c>
      <c r="B205" s="15" t="s">
        <v>1075</v>
      </c>
      <c r="C205" s="15" t="s">
        <v>1106</v>
      </c>
      <c r="D205" s="17" t="s">
        <v>1075</v>
      </c>
      <c r="E205" s="19" t="s">
        <v>347</v>
      </c>
      <c r="F205" s="30">
        <v>0</v>
      </c>
      <c r="G205" s="7"/>
      <c r="H205" s="30">
        <v>0</v>
      </c>
      <c r="I205" s="30">
        <v>0</v>
      </c>
      <c r="J205" s="30">
        <v>0</v>
      </c>
      <c r="K205" s="30">
        <v>0</v>
      </c>
      <c r="L205" s="7"/>
      <c r="M205" s="30">
        <v>63768</v>
      </c>
      <c r="N205" s="8">
        <v>-1</v>
      </c>
      <c r="O205" s="9">
        <v>-63768</v>
      </c>
    </row>
    <row r="206" spans="1:17" s="3" customFormat="1" ht="11.25" outlineLevel="1" thickTop="1">
      <c r="A206" s="3" t="s">
        <v>348</v>
      </c>
      <c r="B206" s="15" t="s">
        <v>1075</v>
      </c>
      <c r="C206" s="15" t="s">
        <v>1075</v>
      </c>
      <c r="D206" s="17" t="s">
        <v>1075</v>
      </c>
      <c r="F206" s="6"/>
      <c r="G206" s="7"/>
      <c r="H206" s="6"/>
      <c r="I206" s="6"/>
      <c r="J206" s="6"/>
      <c r="K206" s="6"/>
      <c r="L206" s="7"/>
      <c r="M206" s="6"/>
      <c r="N206" s="8" t="s">
        <v>739</v>
      </c>
      <c r="O206" s="9" t="s">
        <v>739</v>
      </c>
    </row>
    <row r="207" spans="1:17" s="3" customFormat="1" ht="10.5" customHeight="1" outlineLevel="2">
      <c r="A207" s="3" t="s">
        <v>349</v>
      </c>
      <c r="B207" s="15" t="s">
        <v>1075</v>
      </c>
      <c r="C207" s="15" t="s">
        <v>1107</v>
      </c>
      <c r="D207" s="17" t="s">
        <v>1234</v>
      </c>
      <c r="E207" s="3" t="s">
        <v>350</v>
      </c>
      <c r="F207" s="6">
        <v>-1016341</v>
      </c>
      <c r="G207" s="7"/>
      <c r="H207" s="6">
        <v>0</v>
      </c>
      <c r="I207" s="6">
        <v>-1016341</v>
      </c>
      <c r="J207" s="6">
        <v>0</v>
      </c>
      <c r="K207" s="6">
        <f>-IFERROR(ROUND(VLOOKUP(D207,#REF!,4,FALSE),0)/1000,0)</f>
        <v>0</v>
      </c>
      <c r="L207" s="7"/>
      <c r="M207" s="6">
        <v>-2207634</v>
      </c>
      <c r="N207" s="8">
        <v>-0.53962432178522346</v>
      </c>
      <c r="O207" s="9">
        <v>1191293</v>
      </c>
      <c r="Q207" s="80">
        <f>K207+K210</f>
        <v>0</v>
      </c>
    </row>
    <row r="208" spans="1:17" s="3" customFormat="1" ht="10.5" customHeight="1" outlineLevel="2">
      <c r="B208" s="15"/>
      <c r="C208" s="15"/>
      <c r="D208" s="17" t="s">
        <v>1906</v>
      </c>
      <c r="E208" s="3" t="s">
        <v>1907</v>
      </c>
      <c r="F208" s="6"/>
      <c r="G208" s="7"/>
      <c r="H208" s="6"/>
      <c r="I208" s="6"/>
      <c r="J208" s="6"/>
      <c r="K208" s="6">
        <f>-IFERROR(ROUND(VLOOKUP(D208,#REF!,4,FALSE),0)/1000,0)</f>
        <v>0</v>
      </c>
      <c r="L208" s="7"/>
      <c r="M208" s="6"/>
      <c r="N208" s="8"/>
      <c r="O208" s="9"/>
      <c r="Q208" s="80"/>
    </row>
    <row r="209" spans="1:17" s="3" customFormat="1" ht="10.5" customHeight="1" outlineLevel="2">
      <c r="A209" s="3" t="s">
        <v>351</v>
      </c>
      <c r="B209" s="15" t="s">
        <v>1075</v>
      </c>
      <c r="C209" s="15" t="s">
        <v>1107</v>
      </c>
      <c r="D209" s="17" t="s">
        <v>1235</v>
      </c>
      <c r="E209" s="3" t="s">
        <v>352</v>
      </c>
      <c r="F209" s="6">
        <v>1376080</v>
      </c>
      <c r="G209" s="7"/>
      <c r="H209" s="6">
        <v>0</v>
      </c>
      <c r="I209" s="6">
        <v>1376080</v>
      </c>
      <c r="J209" s="6">
        <v>0</v>
      </c>
      <c r="K209" s="6">
        <f>IFERROR(ROUND(VLOOKUP(D209,#REF!,3,FALSE),0)/1000,0)</f>
        <v>0</v>
      </c>
      <c r="L209" s="7"/>
      <c r="M209" s="6">
        <v>2439338</v>
      </c>
      <c r="N209" s="8">
        <v>-0.43587973458372725</v>
      </c>
      <c r="O209" s="9">
        <v>-1063258</v>
      </c>
      <c r="Q209" s="80">
        <f>K209+K211</f>
        <v>0</v>
      </c>
    </row>
    <row r="210" spans="1:17" s="3" customFormat="1" ht="10.5" customHeight="1" outlineLevel="2">
      <c r="A210" s="3" t="s">
        <v>353</v>
      </c>
      <c r="B210" s="15" t="s">
        <v>1075</v>
      </c>
      <c r="C210" s="15" t="s">
        <v>1107</v>
      </c>
      <c r="D210" s="17" t="s">
        <v>1236</v>
      </c>
      <c r="E210" s="3" t="s">
        <v>354</v>
      </c>
      <c r="F210" s="6">
        <v>-1217795</v>
      </c>
      <c r="G210" s="7"/>
      <c r="H210" s="6">
        <v>0</v>
      </c>
      <c r="I210" s="6">
        <v>-1217795</v>
      </c>
      <c r="J210" s="6">
        <v>0</v>
      </c>
      <c r="K210" s="6">
        <f>-IFERROR(ROUND(VLOOKUP(D210,#REF!,4,FALSE),0)/1000,0)</f>
        <v>0</v>
      </c>
      <c r="L210" s="7"/>
      <c r="M210" s="6">
        <v>-3496069</v>
      </c>
      <c r="N210" s="8">
        <v>-0.65166734409418126</v>
      </c>
      <c r="O210" s="9">
        <v>2278274</v>
      </c>
    </row>
    <row r="211" spans="1:17" s="3" customFormat="1" ht="10.5" customHeight="1" outlineLevel="2">
      <c r="A211" s="3" t="s">
        <v>355</v>
      </c>
      <c r="B211" s="15" t="s">
        <v>1075</v>
      </c>
      <c r="C211" s="15" t="s">
        <v>1107</v>
      </c>
      <c r="D211" s="17" t="s">
        <v>1237</v>
      </c>
      <c r="E211" s="3" t="s">
        <v>356</v>
      </c>
      <c r="F211" s="6">
        <v>1287401</v>
      </c>
      <c r="G211" s="7"/>
      <c r="H211" s="6">
        <v>0</v>
      </c>
      <c r="I211" s="6">
        <v>1287401</v>
      </c>
      <c r="J211" s="6">
        <v>0</v>
      </c>
      <c r="K211" s="6">
        <f>IFERROR(ROUND(VLOOKUP(D211,#REF!,3,FALSE),0)/1000,0)</f>
        <v>0</v>
      </c>
      <c r="L211" s="7"/>
      <c r="M211" s="6">
        <v>4097180</v>
      </c>
      <c r="N211" s="8">
        <v>-0.68578363655001728</v>
      </c>
      <c r="O211" s="9">
        <v>-2809779</v>
      </c>
    </row>
    <row r="212" spans="1:17" s="3" customFormat="1" ht="10.5" customHeight="1" outlineLevel="2">
      <c r="A212" s="3" t="s">
        <v>357</v>
      </c>
      <c r="B212" s="15" t="s">
        <v>1075</v>
      </c>
      <c r="C212" s="15" t="s">
        <v>1107</v>
      </c>
      <c r="D212" s="17" t="s">
        <v>1238</v>
      </c>
      <c r="E212" s="3" t="s">
        <v>358</v>
      </c>
      <c r="F212" s="6">
        <v>-23460</v>
      </c>
      <c r="G212" s="7"/>
      <c r="H212" s="6">
        <v>0</v>
      </c>
      <c r="I212" s="6">
        <v>-23460</v>
      </c>
      <c r="J212" s="6">
        <v>0</v>
      </c>
      <c r="K212" s="6">
        <f>-IFERROR(ROUND(VLOOKUP(D212,#REF!,4,FALSE),0)/1000,0)</f>
        <v>0</v>
      </c>
      <c r="L212" s="7"/>
      <c r="M212" s="6">
        <v>-48081</v>
      </c>
      <c r="N212" s="8">
        <v>-0.5120733761777001</v>
      </c>
      <c r="O212" s="9">
        <v>24621</v>
      </c>
    </row>
    <row r="213" spans="1:17" s="3" customFormat="1" ht="11.25" customHeight="1" outlineLevel="2" thickBot="1">
      <c r="A213" s="3" t="s">
        <v>359</v>
      </c>
      <c r="B213" s="15" t="s">
        <v>1075</v>
      </c>
      <c r="C213" s="15" t="s">
        <v>1107</v>
      </c>
      <c r="D213" s="17" t="s">
        <v>1239</v>
      </c>
      <c r="E213" s="3" t="s">
        <v>360</v>
      </c>
      <c r="F213" s="20">
        <v>-1688067</v>
      </c>
      <c r="G213" s="14"/>
      <c r="H213" s="20">
        <v>0</v>
      </c>
      <c r="I213" s="20">
        <v>-1688067</v>
      </c>
      <c r="J213" s="20">
        <v>0</v>
      </c>
      <c r="K213" s="6">
        <f>-IFERROR(ROUND(VLOOKUP(D213,#REF!,4,FALSE),0)/1000,0)</f>
        <v>0</v>
      </c>
      <c r="L213" s="14"/>
      <c r="M213" s="20">
        <v>-2462552</v>
      </c>
      <c r="N213" s="8">
        <v>-0.31450503380233191</v>
      </c>
      <c r="O213" s="9">
        <v>774485</v>
      </c>
    </row>
    <row r="214" spans="1:17" s="3" customFormat="1" ht="12" outlineLevel="1" thickTop="1" thickBot="1">
      <c r="A214" s="3" t="s">
        <v>361</v>
      </c>
      <c r="B214" s="15" t="s">
        <v>1075</v>
      </c>
      <c r="C214" s="15" t="s">
        <v>1107</v>
      </c>
      <c r="D214" s="17" t="s">
        <v>1075</v>
      </c>
      <c r="E214" s="19" t="s">
        <v>362</v>
      </c>
      <c r="F214" s="30">
        <v>-1282182</v>
      </c>
      <c r="G214" s="7"/>
      <c r="H214" s="30">
        <v>0</v>
      </c>
      <c r="I214" s="30">
        <v>-1282182</v>
      </c>
      <c r="J214" s="30">
        <v>0</v>
      </c>
      <c r="K214" s="30">
        <f>SUM(K207:K213)</f>
        <v>0</v>
      </c>
      <c r="L214" s="7"/>
      <c r="M214" s="30">
        <v>-1677818</v>
      </c>
      <c r="N214" s="8">
        <v>-0.23580388337710051</v>
      </c>
      <c r="O214" s="9">
        <v>395636</v>
      </c>
    </row>
    <row r="215" spans="1:17" s="3" customFormat="1" ht="11.25" outlineLevel="1" thickTop="1">
      <c r="A215" s="3" t="s">
        <v>363</v>
      </c>
      <c r="B215" s="15" t="s">
        <v>1075</v>
      </c>
      <c r="C215" s="15" t="s">
        <v>1075</v>
      </c>
      <c r="D215" s="17" t="s">
        <v>1075</v>
      </c>
      <c r="F215" s="6"/>
      <c r="G215" s="7"/>
      <c r="H215" s="6"/>
      <c r="I215" s="6"/>
      <c r="J215" s="6"/>
      <c r="K215" s="6"/>
      <c r="L215" s="7"/>
      <c r="M215" s="6"/>
      <c r="N215" s="8" t="s">
        <v>739</v>
      </c>
      <c r="O215" s="9" t="s">
        <v>739</v>
      </c>
    </row>
    <row r="216" spans="1:17" s="3" customFormat="1" ht="11.25" customHeight="1" outlineLevel="2" thickBot="1">
      <c r="A216" s="3" t="s">
        <v>364</v>
      </c>
      <c r="B216" s="15" t="s">
        <v>1075</v>
      </c>
      <c r="C216" s="15" t="s">
        <v>1108</v>
      </c>
      <c r="D216" s="17" t="s">
        <v>1240</v>
      </c>
      <c r="E216" s="3" t="s">
        <v>365</v>
      </c>
      <c r="F216" s="20">
        <v>-25030</v>
      </c>
      <c r="G216" s="14"/>
      <c r="H216" s="20">
        <v>0</v>
      </c>
      <c r="I216" s="20">
        <v>-25030</v>
      </c>
      <c r="J216" s="20">
        <v>0</v>
      </c>
      <c r="K216" s="6">
        <f>-IFERROR(ROUND(VLOOKUP(D216,#REF!,4,FALSE),0)/1000,0)</f>
        <v>0</v>
      </c>
      <c r="L216" s="14"/>
      <c r="M216" s="20">
        <v>-61271</v>
      </c>
      <c r="N216" s="8">
        <v>-0.59148700037538149</v>
      </c>
      <c r="O216" s="9">
        <v>36241</v>
      </c>
    </row>
    <row r="217" spans="1:17" s="3" customFormat="1" ht="12" outlineLevel="1" thickTop="1" thickBot="1">
      <c r="A217" s="3" t="s">
        <v>366</v>
      </c>
      <c r="B217" s="15" t="s">
        <v>1075</v>
      </c>
      <c r="C217" s="15" t="s">
        <v>1108</v>
      </c>
      <c r="D217" s="17" t="s">
        <v>1075</v>
      </c>
      <c r="E217" s="19" t="s">
        <v>367</v>
      </c>
      <c r="F217" s="30">
        <v>-25030</v>
      </c>
      <c r="G217" s="7"/>
      <c r="H217" s="30">
        <v>0</v>
      </c>
      <c r="I217" s="30">
        <v>-25030</v>
      </c>
      <c r="J217" s="30">
        <v>0</v>
      </c>
      <c r="K217" s="30">
        <f>SUM(K216)</f>
        <v>0</v>
      </c>
      <c r="L217" s="7"/>
      <c r="M217" s="30">
        <v>-61271</v>
      </c>
      <c r="N217" s="8">
        <v>-0.59148700037538149</v>
      </c>
      <c r="O217" s="9">
        <v>36241</v>
      </c>
    </row>
    <row r="218" spans="1:17" s="3" customFormat="1" ht="12" outlineLevel="1" thickTop="1" thickBot="1">
      <c r="A218" s="3" t="s">
        <v>368</v>
      </c>
      <c r="B218" s="15" t="s">
        <v>1075</v>
      </c>
      <c r="C218" s="15" t="s">
        <v>1075</v>
      </c>
      <c r="D218" s="17" t="s">
        <v>1075</v>
      </c>
      <c r="F218" s="6"/>
      <c r="G218" s="7"/>
      <c r="H218" s="6"/>
      <c r="I218" s="6"/>
      <c r="J218" s="6"/>
      <c r="K218" s="6"/>
      <c r="L218" s="7"/>
      <c r="M218" s="6"/>
      <c r="N218" s="8" t="s">
        <v>739</v>
      </c>
      <c r="O218" s="9" t="s">
        <v>739</v>
      </c>
    </row>
    <row r="219" spans="1:17" s="3" customFormat="1" ht="12" outlineLevel="1" thickTop="1" thickBot="1">
      <c r="A219" s="3" t="s">
        <v>369</v>
      </c>
      <c r="B219" s="15" t="s">
        <v>1075</v>
      </c>
      <c r="C219" s="15" t="s">
        <v>1109</v>
      </c>
      <c r="D219" s="17" t="s">
        <v>1075</v>
      </c>
      <c r="E219" s="19" t="s">
        <v>370</v>
      </c>
      <c r="F219" s="10">
        <v>0</v>
      </c>
      <c r="G219" s="7"/>
      <c r="H219" s="10">
        <v>0</v>
      </c>
      <c r="I219" s="10">
        <v>0</v>
      </c>
      <c r="J219" s="10">
        <v>0</v>
      </c>
      <c r="K219" s="10">
        <v>0</v>
      </c>
      <c r="L219" s="7"/>
      <c r="M219" s="10">
        <v>0</v>
      </c>
      <c r="N219" s="8" t="s">
        <v>739</v>
      </c>
      <c r="O219" s="9">
        <v>0</v>
      </c>
    </row>
    <row r="220" spans="1:17" s="3" customFormat="1" ht="11.25" outlineLevel="1" thickTop="1">
      <c r="A220" s="3" t="s">
        <v>371</v>
      </c>
      <c r="B220" s="15" t="s">
        <v>1075</v>
      </c>
      <c r="C220" s="15" t="s">
        <v>1075</v>
      </c>
      <c r="D220" s="17" t="s">
        <v>1075</v>
      </c>
      <c r="F220" s="6"/>
      <c r="G220" s="7"/>
      <c r="H220" s="6"/>
      <c r="I220" s="6"/>
      <c r="J220" s="6"/>
      <c r="K220" s="6"/>
      <c r="L220" s="7"/>
      <c r="M220" s="6"/>
      <c r="N220" s="8" t="s">
        <v>739</v>
      </c>
      <c r="O220" s="9" t="s">
        <v>739</v>
      </c>
    </row>
    <row r="221" spans="1:17" s="3" customFormat="1" ht="10.5" customHeight="1" outlineLevel="2">
      <c r="A221" s="3" t="s">
        <v>372</v>
      </c>
      <c r="B221" s="15" t="s">
        <v>1075</v>
      </c>
      <c r="C221" s="15" t="s">
        <v>1110</v>
      </c>
      <c r="D221" s="17" t="s">
        <v>1241</v>
      </c>
      <c r="E221" s="3" t="s">
        <v>373</v>
      </c>
      <c r="F221" s="6">
        <v>-890</v>
      </c>
      <c r="G221" s="7"/>
      <c r="H221" s="6">
        <v>0</v>
      </c>
      <c r="I221" s="6">
        <v>-890</v>
      </c>
      <c r="J221" s="6">
        <v>0</v>
      </c>
      <c r="K221" s="6">
        <f>-IFERROR(ROUND(VLOOKUP(D221,#REF!,4,FALSE),0)/1000,0)</f>
        <v>0</v>
      </c>
      <c r="L221" s="7"/>
      <c r="M221" s="6">
        <v>-17605</v>
      </c>
      <c r="N221" s="8">
        <v>-0.94944618006248227</v>
      </c>
      <c r="O221" s="9">
        <v>16715</v>
      </c>
    </row>
    <row r="222" spans="1:17" s="3" customFormat="1" ht="10.5" customHeight="1" outlineLevel="2">
      <c r="A222" s="3" t="s">
        <v>374</v>
      </c>
      <c r="B222" s="15" t="s">
        <v>1075</v>
      </c>
      <c r="C222" s="15" t="s">
        <v>1110</v>
      </c>
      <c r="D222" s="17" t="s">
        <v>1242</v>
      </c>
      <c r="E222" s="3" t="s">
        <v>375</v>
      </c>
      <c r="F222" s="6">
        <v>3819</v>
      </c>
      <c r="G222" s="7"/>
      <c r="H222" s="6">
        <v>0</v>
      </c>
      <c r="I222" s="6">
        <v>3819</v>
      </c>
      <c r="J222" s="6">
        <v>0</v>
      </c>
      <c r="K222" s="6">
        <f>IFERROR(ROUND(VLOOKUP(D222,#REF!,3,FALSE),0)/1000,0)</f>
        <v>0</v>
      </c>
      <c r="L222" s="7"/>
      <c r="M222" s="6">
        <v>-43</v>
      </c>
      <c r="N222" s="8">
        <v>-89.813953488372093</v>
      </c>
      <c r="O222" s="9">
        <v>3862</v>
      </c>
    </row>
    <row r="223" spans="1:17" s="3" customFormat="1" ht="10.5" customHeight="1" outlineLevel="2">
      <c r="A223" s="3" t="s">
        <v>376</v>
      </c>
      <c r="B223" s="15" t="s">
        <v>1075</v>
      </c>
      <c r="C223" s="15" t="s">
        <v>1110</v>
      </c>
      <c r="D223" s="17" t="s">
        <v>1243</v>
      </c>
      <c r="E223" s="3" t="s">
        <v>377</v>
      </c>
      <c r="F223" s="6">
        <v>157</v>
      </c>
      <c r="G223" s="7"/>
      <c r="H223" s="6">
        <v>0</v>
      </c>
      <c r="I223" s="6">
        <v>157</v>
      </c>
      <c r="J223" s="6">
        <v>0</v>
      </c>
      <c r="K223" s="6">
        <f>IFERROR(ROUND(VLOOKUP(D223,#REF!,3,FALSE),0)/1000,0)</f>
        <v>0</v>
      </c>
      <c r="L223" s="7"/>
      <c r="M223" s="6">
        <v>7865</v>
      </c>
      <c r="N223" s="8">
        <v>-0.98003814367450726</v>
      </c>
      <c r="O223" s="9">
        <v>-7708</v>
      </c>
    </row>
    <row r="224" spans="1:17" s="3" customFormat="1" ht="11.25" customHeight="1" outlineLevel="2" thickBot="1">
      <c r="A224" s="3" t="s">
        <v>378</v>
      </c>
      <c r="B224" s="15" t="s">
        <v>1075</v>
      </c>
      <c r="C224" s="15" t="s">
        <v>1110</v>
      </c>
      <c r="D224" s="17" t="s">
        <v>1244</v>
      </c>
      <c r="E224" s="3" t="s">
        <v>379</v>
      </c>
      <c r="F224" s="20">
        <v>9</v>
      </c>
      <c r="G224" s="14"/>
      <c r="H224" s="20">
        <v>0</v>
      </c>
      <c r="I224" s="20">
        <v>9</v>
      </c>
      <c r="J224" s="20">
        <v>0</v>
      </c>
      <c r="K224" s="6">
        <f>IFERROR(ROUND(VLOOKUP(D224,#REF!,3,FALSE),0)/1000,0)</f>
        <v>0</v>
      </c>
      <c r="L224" s="14"/>
      <c r="M224" s="20">
        <v>385</v>
      </c>
      <c r="N224" s="8">
        <v>-0.97662337662337662</v>
      </c>
      <c r="O224" s="9">
        <v>-376</v>
      </c>
    </row>
    <row r="225" spans="1:17" s="3" customFormat="1" ht="11.25" customHeight="1" outlineLevel="2" thickTop="1" thickBot="1">
      <c r="B225" s="15"/>
      <c r="C225" s="15"/>
      <c r="D225" s="17" t="s">
        <v>1910</v>
      </c>
      <c r="E225" s="3" t="s">
        <v>1911</v>
      </c>
      <c r="F225" s="6"/>
      <c r="G225" s="14"/>
      <c r="H225" s="6"/>
      <c r="I225" s="6"/>
      <c r="J225" s="6"/>
      <c r="K225" s="6">
        <f>-IFERROR(ROUND(VLOOKUP(D225,#REF!,4,FALSE),0)/1000,0)</f>
        <v>0</v>
      </c>
      <c r="L225" s="14"/>
      <c r="M225" s="6"/>
      <c r="N225" s="8"/>
      <c r="O225" s="9"/>
    </row>
    <row r="226" spans="1:17" s="3" customFormat="1" ht="12" outlineLevel="1" thickTop="1" thickBot="1">
      <c r="A226" s="3" t="s">
        <v>380</v>
      </c>
      <c r="B226" s="15" t="s">
        <v>1075</v>
      </c>
      <c r="C226" s="15" t="s">
        <v>1110</v>
      </c>
      <c r="D226" s="17" t="s">
        <v>1075</v>
      </c>
      <c r="E226" s="19" t="s">
        <v>381</v>
      </c>
      <c r="F226" s="30">
        <v>3095</v>
      </c>
      <c r="G226" s="7"/>
      <c r="H226" s="30">
        <v>0</v>
      </c>
      <c r="I226" s="30">
        <v>3095</v>
      </c>
      <c r="J226" s="30">
        <v>0</v>
      </c>
      <c r="K226" s="30">
        <f>SUM(K221:K225)</f>
        <v>0</v>
      </c>
      <c r="L226" s="7"/>
      <c r="M226" s="30">
        <v>-9398</v>
      </c>
      <c r="N226" s="8">
        <v>-1.3293253883805065</v>
      </c>
      <c r="O226" s="9">
        <v>12493</v>
      </c>
    </row>
    <row r="227" spans="1:17" s="3" customFormat="1" ht="12" outlineLevel="1" thickTop="1" thickBot="1">
      <c r="A227" s="3" t="s">
        <v>382</v>
      </c>
      <c r="B227" s="15" t="s">
        <v>1075</v>
      </c>
      <c r="C227" s="15" t="s">
        <v>1075</v>
      </c>
      <c r="D227" s="17" t="s">
        <v>1075</v>
      </c>
      <c r="F227" s="6"/>
      <c r="G227" s="7"/>
      <c r="H227" s="6"/>
      <c r="I227" s="6"/>
      <c r="J227" s="6"/>
      <c r="K227" s="6"/>
      <c r="L227" s="7"/>
      <c r="M227" s="6"/>
      <c r="N227" s="8" t="s">
        <v>739</v>
      </c>
      <c r="O227" s="9" t="s">
        <v>739</v>
      </c>
    </row>
    <row r="228" spans="1:17" s="3" customFormat="1" ht="12" outlineLevel="1" thickTop="1" thickBot="1">
      <c r="A228" s="3" t="s">
        <v>383</v>
      </c>
      <c r="B228" s="15" t="s">
        <v>1075</v>
      </c>
      <c r="C228" s="15" t="s">
        <v>384</v>
      </c>
      <c r="D228" s="17" t="s">
        <v>1075</v>
      </c>
      <c r="E228" s="19" t="s">
        <v>385</v>
      </c>
      <c r="F228" s="10">
        <v>0</v>
      </c>
      <c r="G228" s="7"/>
      <c r="H228" s="10">
        <v>0</v>
      </c>
      <c r="I228" s="10">
        <v>0</v>
      </c>
      <c r="J228" s="10">
        <v>0</v>
      </c>
      <c r="K228" s="10">
        <v>0</v>
      </c>
      <c r="L228" s="7"/>
      <c r="M228" s="10">
        <v>0</v>
      </c>
      <c r="N228" s="8" t="s">
        <v>739</v>
      </c>
      <c r="O228" s="9">
        <v>0</v>
      </c>
    </row>
    <row r="229" spans="1:17" s="3" customFormat="1" ht="11.25" outlineLevel="1" thickTop="1">
      <c r="A229" s="3" t="s">
        <v>386</v>
      </c>
      <c r="B229" s="15" t="s">
        <v>1075</v>
      </c>
      <c r="C229" s="15" t="s">
        <v>1075</v>
      </c>
      <c r="D229" s="17" t="s">
        <v>1075</v>
      </c>
      <c r="F229" s="6"/>
      <c r="G229" s="7"/>
      <c r="H229" s="6"/>
      <c r="I229" s="6"/>
      <c r="J229" s="6"/>
      <c r="K229" s="6"/>
      <c r="L229" s="7"/>
      <c r="M229" s="6"/>
      <c r="N229" s="8" t="s">
        <v>739</v>
      </c>
      <c r="O229" s="9" t="s">
        <v>739</v>
      </c>
    </row>
    <row r="230" spans="1:17" s="3" customFormat="1" ht="10.5" customHeight="1" outlineLevel="2">
      <c r="A230" s="3" t="s">
        <v>387</v>
      </c>
      <c r="B230" s="15" t="s">
        <v>1075</v>
      </c>
      <c r="C230" s="15" t="s">
        <v>388</v>
      </c>
      <c r="D230" s="17" t="s">
        <v>1245</v>
      </c>
      <c r="E230" s="3" t="s">
        <v>389</v>
      </c>
      <c r="F230" s="6">
        <v>0</v>
      </c>
      <c r="G230" s="7"/>
      <c r="H230" s="6">
        <v>0</v>
      </c>
      <c r="I230" s="6">
        <v>0</v>
      </c>
      <c r="J230" s="6">
        <v>0</v>
      </c>
      <c r="K230" s="6">
        <v>0</v>
      </c>
      <c r="L230" s="7"/>
      <c r="M230" s="6">
        <v>0</v>
      </c>
      <c r="N230" s="8" t="s">
        <v>739</v>
      </c>
      <c r="O230" s="9">
        <v>0</v>
      </c>
    </row>
    <row r="231" spans="1:17" s="3" customFormat="1" ht="11.25" customHeight="1" outlineLevel="2" thickBot="1">
      <c r="A231" s="3" t="s">
        <v>390</v>
      </c>
      <c r="B231" s="15" t="s">
        <v>1075</v>
      </c>
      <c r="C231" s="15" t="s">
        <v>388</v>
      </c>
      <c r="D231" s="17" t="s">
        <v>1246</v>
      </c>
      <c r="E231" s="3" t="s">
        <v>391</v>
      </c>
      <c r="F231" s="20">
        <v>1646</v>
      </c>
      <c r="G231" s="14"/>
      <c r="H231" s="20">
        <v>0</v>
      </c>
      <c r="I231" s="20">
        <v>1646</v>
      </c>
      <c r="J231" s="20">
        <v>0</v>
      </c>
      <c r="K231" s="6">
        <f>IFERROR(ROUND(VLOOKUP(D231,#REF!,3,FALSE),0)/1000,0)</f>
        <v>0</v>
      </c>
      <c r="L231" s="14"/>
      <c r="M231" s="20">
        <v>14941</v>
      </c>
      <c r="N231" s="8">
        <v>-0.88983334448832074</v>
      </c>
      <c r="O231" s="9">
        <v>-13295</v>
      </c>
      <c r="P231" s="80"/>
      <c r="Q231" s="477"/>
    </row>
    <row r="232" spans="1:17" s="3" customFormat="1" ht="12" outlineLevel="1" thickTop="1" thickBot="1">
      <c r="A232" s="3" t="s">
        <v>392</v>
      </c>
      <c r="B232" s="15" t="s">
        <v>1075</v>
      </c>
      <c r="C232" s="15" t="s">
        <v>388</v>
      </c>
      <c r="D232" s="17" t="s">
        <v>1075</v>
      </c>
      <c r="E232" s="19" t="s">
        <v>393</v>
      </c>
      <c r="F232" s="30">
        <v>1646</v>
      </c>
      <c r="G232" s="7"/>
      <c r="H232" s="30">
        <v>0</v>
      </c>
      <c r="I232" s="30">
        <v>1646</v>
      </c>
      <c r="J232" s="30">
        <v>0</v>
      </c>
      <c r="K232" s="30">
        <f>SUM(K230:K231)</f>
        <v>0</v>
      </c>
      <c r="L232" s="7"/>
      <c r="M232" s="30">
        <v>14941</v>
      </c>
      <c r="N232" s="8">
        <v>-0.88983334448832074</v>
      </c>
      <c r="O232" s="9">
        <v>-13295</v>
      </c>
    </row>
    <row r="233" spans="1:17" s="3" customFormat="1" ht="11.25" outlineLevel="1" thickTop="1">
      <c r="A233" s="3" t="s">
        <v>394</v>
      </c>
      <c r="B233" s="15" t="s">
        <v>1075</v>
      </c>
      <c r="C233" s="15" t="s">
        <v>1075</v>
      </c>
      <c r="D233" s="17" t="s">
        <v>1075</v>
      </c>
      <c r="F233" s="6"/>
      <c r="G233" s="7"/>
      <c r="H233" s="6"/>
      <c r="I233" s="6"/>
      <c r="J233" s="6"/>
      <c r="K233" s="6"/>
      <c r="L233" s="7"/>
      <c r="M233" s="6"/>
      <c r="N233" s="8" t="s">
        <v>739</v>
      </c>
      <c r="O233" s="9" t="s">
        <v>739</v>
      </c>
    </row>
    <row r="234" spans="1:17" s="3" customFormat="1" ht="10.5" customHeight="1" outlineLevel="2">
      <c r="A234" s="3" t="s">
        <v>395</v>
      </c>
      <c r="B234" s="15" t="s">
        <v>1075</v>
      </c>
      <c r="C234" s="15" t="s">
        <v>396</v>
      </c>
      <c r="D234" s="17" t="s">
        <v>1247</v>
      </c>
      <c r="E234" s="3" t="s">
        <v>397</v>
      </c>
      <c r="F234" s="6">
        <v>-44440</v>
      </c>
      <c r="G234" s="7"/>
      <c r="H234" s="6">
        <v>0</v>
      </c>
      <c r="I234" s="6">
        <v>-44440</v>
      </c>
      <c r="J234" s="6">
        <v>0</v>
      </c>
      <c r="K234" s="6">
        <f>-IFERROR(ROUND(VLOOKUP(D234,#REF!,4,FALSE),0)/1000,0)</f>
        <v>0</v>
      </c>
      <c r="L234" s="7"/>
      <c r="M234" s="6">
        <v>-34411</v>
      </c>
      <c r="N234" s="8">
        <v>0.2914475022521868</v>
      </c>
      <c r="O234" s="9">
        <v>-10029</v>
      </c>
    </row>
    <row r="235" spans="1:17" s="3" customFormat="1" ht="10.5" customHeight="1" outlineLevel="2">
      <c r="A235" s="3" t="s">
        <v>398</v>
      </c>
      <c r="B235" s="15" t="s">
        <v>1075</v>
      </c>
      <c r="C235" s="15" t="s">
        <v>396</v>
      </c>
      <c r="D235" s="17" t="s">
        <v>1248</v>
      </c>
      <c r="E235" s="3" t="s">
        <v>397</v>
      </c>
      <c r="F235" s="6">
        <v>0</v>
      </c>
      <c r="G235" s="7"/>
      <c r="H235" s="6">
        <v>0</v>
      </c>
      <c r="I235" s="6">
        <v>0</v>
      </c>
      <c r="J235" s="6">
        <v>0</v>
      </c>
      <c r="K235" s="6">
        <f>-IFERROR(ROUND(VLOOKUP(D235,#REF!,4,FALSE),0)/1000,0)</f>
        <v>0</v>
      </c>
      <c r="L235" s="7"/>
      <c r="M235" s="6">
        <v>-1535</v>
      </c>
      <c r="N235" s="8">
        <v>-1</v>
      </c>
      <c r="O235" s="9">
        <v>1535</v>
      </c>
    </row>
    <row r="236" spans="1:17" s="3" customFormat="1" ht="10.5" customHeight="1" outlineLevel="2">
      <c r="A236" s="3" t="s">
        <v>399</v>
      </c>
      <c r="B236" s="15" t="s">
        <v>1075</v>
      </c>
      <c r="C236" s="15" t="s">
        <v>396</v>
      </c>
      <c r="D236" s="17" t="s">
        <v>1249</v>
      </c>
      <c r="E236" s="3" t="s">
        <v>400</v>
      </c>
      <c r="F236" s="6">
        <v>2</v>
      </c>
      <c r="G236" s="7"/>
      <c r="H236" s="6">
        <v>0</v>
      </c>
      <c r="I236" s="6">
        <v>2</v>
      </c>
      <c r="J236" s="6">
        <v>0</v>
      </c>
      <c r="K236" s="6">
        <f>-IFERROR(ROUND(VLOOKUP(D236,#REF!,3,FALSE),0)/1000,0)</f>
        <v>0</v>
      </c>
      <c r="L236" s="7"/>
      <c r="M236" s="6">
        <v>-2499</v>
      </c>
      <c r="N236" s="8">
        <v>-1.0008003201280513</v>
      </c>
      <c r="O236" s="9">
        <v>2501</v>
      </c>
    </row>
    <row r="237" spans="1:17" s="3" customFormat="1" ht="10.5" customHeight="1" outlineLevel="2">
      <c r="A237" s="3" t="s">
        <v>401</v>
      </c>
      <c r="B237" s="15" t="s">
        <v>1075</v>
      </c>
      <c r="C237" s="15" t="s">
        <v>396</v>
      </c>
      <c r="D237" s="17" t="s">
        <v>1250</v>
      </c>
      <c r="E237" s="3" t="s">
        <v>402</v>
      </c>
      <c r="F237" s="6">
        <v>0</v>
      </c>
      <c r="G237" s="7"/>
      <c r="H237" s="6">
        <v>0</v>
      </c>
      <c r="I237" s="6">
        <v>0</v>
      </c>
      <c r="J237" s="6">
        <v>0</v>
      </c>
      <c r="K237" s="6">
        <f>-IFERROR(ROUND(VLOOKUP(D237,#REF!,4,FALSE),0)/1000,0)</f>
        <v>0</v>
      </c>
      <c r="L237" s="7"/>
      <c r="M237" s="6">
        <v>0</v>
      </c>
      <c r="N237" s="8" t="s">
        <v>739</v>
      </c>
      <c r="O237" s="9">
        <v>0</v>
      </c>
    </row>
    <row r="238" spans="1:17" s="3" customFormat="1" ht="11.25" customHeight="1" outlineLevel="2" thickBot="1">
      <c r="A238" s="3" t="s">
        <v>403</v>
      </c>
      <c r="B238" s="15" t="s">
        <v>1075</v>
      </c>
      <c r="C238" s="15" t="s">
        <v>396</v>
      </c>
      <c r="D238" s="17" t="s">
        <v>1251</v>
      </c>
      <c r="E238" s="3" t="s">
        <v>404</v>
      </c>
      <c r="F238" s="20">
        <v>0</v>
      </c>
      <c r="G238" s="14"/>
      <c r="H238" s="20">
        <v>0</v>
      </c>
      <c r="I238" s="20">
        <v>0</v>
      </c>
      <c r="J238" s="20">
        <v>0</v>
      </c>
      <c r="K238" s="6">
        <f>-IFERROR(ROUND(VLOOKUP(D238,#REF!,4,FALSE),0)/1000,0)</f>
        <v>0</v>
      </c>
      <c r="L238" s="14"/>
      <c r="M238" s="20">
        <v>468</v>
      </c>
      <c r="N238" s="8">
        <v>-1</v>
      </c>
      <c r="O238" s="9">
        <v>-468</v>
      </c>
    </row>
    <row r="239" spans="1:17" s="3" customFormat="1" ht="12" outlineLevel="1" thickTop="1" thickBot="1">
      <c r="A239" s="3" t="s">
        <v>405</v>
      </c>
      <c r="B239" s="15" t="s">
        <v>1075</v>
      </c>
      <c r="C239" s="15" t="s">
        <v>396</v>
      </c>
      <c r="D239" s="17" t="s">
        <v>1075</v>
      </c>
      <c r="E239" s="19" t="s">
        <v>406</v>
      </c>
      <c r="F239" s="30">
        <v>-44438</v>
      </c>
      <c r="G239" s="7"/>
      <c r="H239" s="30">
        <v>0</v>
      </c>
      <c r="I239" s="30">
        <v>-44438</v>
      </c>
      <c r="J239" s="30">
        <v>0</v>
      </c>
      <c r="K239" s="30">
        <f>SUM(K234:K238)</f>
        <v>0</v>
      </c>
      <c r="L239" s="7"/>
      <c r="M239" s="30">
        <v>-37977</v>
      </c>
      <c r="N239" s="8">
        <v>0.1701292887800511</v>
      </c>
      <c r="O239" s="9">
        <v>-6461</v>
      </c>
    </row>
    <row r="240" spans="1:17" s="3" customFormat="1" ht="11.25" outlineLevel="1" thickTop="1">
      <c r="A240" s="3" t="s">
        <v>407</v>
      </c>
      <c r="B240" s="15" t="s">
        <v>1075</v>
      </c>
      <c r="C240" s="15" t="s">
        <v>1075</v>
      </c>
      <c r="D240" s="17" t="s">
        <v>1075</v>
      </c>
      <c r="F240" s="6"/>
      <c r="G240" s="7"/>
      <c r="H240" s="6"/>
      <c r="I240" s="6"/>
      <c r="J240" s="6"/>
      <c r="K240" s="6"/>
      <c r="L240" s="7"/>
      <c r="M240" s="6"/>
      <c r="N240" s="8" t="s">
        <v>739</v>
      </c>
      <c r="O240" s="9" t="s">
        <v>739</v>
      </c>
    </row>
    <row r="241" spans="1:15" s="3" customFormat="1" ht="10.5" customHeight="1" outlineLevel="2">
      <c r="A241" s="3" t="s">
        <v>408</v>
      </c>
      <c r="B241" s="15" t="s">
        <v>1075</v>
      </c>
      <c r="C241" s="15" t="s">
        <v>409</v>
      </c>
      <c r="D241" s="17" t="s">
        <v>1252</v>
      </c>
      <c r="E241" s="3" t="s">
        <v>410</v>
      </c>
      <c r="F241" s="6">
        <v>-1671</v>
      </c>
      <c r="G241" s="7"/>
      <c r="H241" s="6">
        <v>0</v>
      </c>
      <c r="I241" s="6">
        <v>-1671</v>
      </c>
      <c r="J241" s="6">
        <v>0</v>
      </c>
      <c r="K241" s="6">
        <f>-IFERROR(ROUND(VLOOKUP(D241,#REF!,4,FALSE),0)/1000,0)</f>
        <v>0</v>
      </c>
      <c r="L241" s="7"/>
      <c r="M241" s="6">
        <v>-35211</v>
      </c>
      <c r="N241" s="8">
        <v>-0.95254323932861895</v>
      </c>
      <c r="O241" s="9">
        <v>33540</v>
      </c>
    </row>
    <row r="242" spans="1:15" s="3" customFormat="1" ht="10.5" customHeight="1" outlineLevel="2">
      <c r="A242" s="3" t="s">
        <v>1562</v>
      </c>
      <c r="B242" s="15" t="s">
        <v>1075</v>
      </c>
      <c r="C242" s="15" t="s">
        <v>409</v>
      </c>
      <c r="D242" s="17"/>
      <c r="E242" s="17"/>
      <c r="F242" s="6"/>
      <c r="G242" s="14"/>
      <c r="H242" s="6"/>
      <c r="I242" s="6"/>
      <c r="J242" s="6"/>
      <c r="K242" s="6"/>
      <c r="L242" s="14"/>
      <c r="M242" s="6">
        <v>0</v>
      </c>
      <c r="N242" s="8" t="s">
        <v>739</v>
      </c>
      <c r="O242" s="9">
        <v>-4778</v>
      </c>
    </row>
    <row r="243" spans="1:15" s="3" customFormat="1" ht="10.5" customHeight="1" outlineLevel="2">
      <c r="A243" s="3" t="s">
        <v>411</v>
      </c>
      <c r="B243" s="15" t="s">
        <v>1075</v>
      </c>
      <c r="C243" s="15" t="s">
        <v>409</v>
      </c>
      <c r="D243" s="17" t="s">
        <v>1253</v>
      </c>
      <c r="E243" s="3" t="s">
        <v>412</v>
      </c>
      <c r="F243" s="6">
        <v>313</v>
      </c>
      <c r="G243" s="7"/>
      <c r="H243" s="6">
        <v>0</v>
      </c>
      <c r="I243" s="6">
        <v>313</v>
      </c>
      <c r="J243" s="6">
        <v>0</v>
      </c>
      <c r="K243" s="6">
        <f>IFERROR(ROUND(VLOOKUP(D243,#REF!,3,FALSE),0)/1000,0)</f>
        <v>0</v>
      </c>
      <c r="L243" s="7"/>
      <c r="M243" s="6">
        <v>8544</v>
      </c>
      <c r="N243" s="8">
        <v>-0.96336610486891383</v>
      </c>
      <c r="O243" s="9">
        <v>-8231</v>
      </c>
    </row>
    <row r="244" spans="1:15" s="3" customFormat="1" ht="10.5" customHeight="1" outlineLevel="2">
      <c r="A244" s="3" t="s">
        <v>413</v>
      </c>
      <c r="B244" s="15" t="s">
        <v>1075</v>
      </c>
      <c r="C244" s="15" t="s">
        <v>409</v>
      </c>
      <c r="D244" s="17" t="s">
        <v>1254</v>
      </c>
      <c r="E244" s="3" t="s">
        <v>414</v>
      </c>
      <c r="F244" s="6">
        <v>-2968</v>
      </c>
      <c r="G244" s="7"/>
      <c r="H244" s="6">
        <v>0</v>
      </c>
      <c r="I244" s="6">
        <v>-2968</v>
      </c>
      <c r="J244" s="6">
        <v>0</v>
      </c>
      <c r="K244" s="6">
        <f>-IFERROR(ROUND(VLOOKUP(D244,#REF!,4,FALSE),0)/1000,0)</f>
        <v>0</v>
      </c>
      <c r="L244" s="7"/>
      <c r="M244" s="6">
        <v>-10413</v>
      </c>
      <c r="N244" s="8">
        <v>-0.71497167002784978</v>
      </c>
      <c r="O244" s="9">
        <v>7445</v>
      </c>
    </row>
    <row r="245" spans="1:15" s="3" customFormat="1" ht="10.5" customHeight="1" outlineLevel="2">
      <c r="A245" s="3" t="s">
        <v>415</v>
      </c>
      <c r="B245" s="15" t="s">
        <v>1075</v>
      </c>
      <c r="C245" s="15" t="s">
        <v>409</v>
      </c>
      <c r="D245" s="17" t="s">
        <v>1564</v>
      </c>
      <c r="E245" s="17" t="s">
        <v>1563</v>
      </c>
      <c r="F245" s="6">
        <v>-10133</v>
      </c>
      <c r="G245" s="7"/>
      <c r="H245" s="6">
        <v>0</v>
      </c>
      <c r="I245" s="6">
        <v>-10133</v>
      </c>
      <c r="J245" s="6">
        <v>0</v>
      </c>
      <c r="K245" s="6">
        <f>-IFERROR(ROUND(VLOOKUP(D245,#REF!,4,FALSE),0)/1000,0)</f>
        <v>0</v>
      </c>
      <c r="L245" s="7"/>
      <c r="M245" s="6">
        <v>-4515</v>
      </c>
      <c r="N245" s="8">
        <v>1.2442967884828351</v>
      </c>
      <c r="O245" s="9">
        <v>-5618</v>
      </c>
    </row>
    <row r="246" spans="1:15" s="3" customFormat="1" ht="10.5" customHeight="1" outlineLevel="2">
      <c r="B246" s="15"/>
      <c r="C246" s="15"/>
      <c r="D246" s="17" t="s">
        <v>1914</v>
      </c>
      <c r="E246" s="3" t="s">
        <v>1915</v>
      </c>
      <c r="F246" s="6"/>
      <c r="G246" s="7"/>
      <c r="H246" s="6"/>
      <c r="I246" s="6"/>
      <c r="J246" s="6"/>
      <c r="K246" s="6">
        <f>-IFERROR(ROUND(VLOOKUP(D246,#REF!,4,FALSE),0)/1000,0)</f>
        <v>0</v>
      </c>
      <c r="L246" s="7"/>
      <c r="M246" s="6"/>
      <c r="N246" s="8"/>
      <c r="O246" s="9"/>
    </row>
    <row r="247" spans="1:15" s="3" customFormat="1" ht="11.25" customHeight="1" outlineLevel="2" thickBot="1">
      <c r="A247" s="3" t="s">
        <v>416</v>
      </c>
      <c r="B247" s="15" t="s">
        <v>1075</v>
      </c>
      <c r="C247" s="15" t="s">
        <v>409</v>
      </c>
      <c r="D247" s="17" t="s">
        <v>1255</v>
      </c>
      <c r="E247" s="3" t="s">
        <v>417</v>
      </c>
      <c r="F247" s="20">
        <v>0</v>
      </c>
      <c r="G247" s="14"/>
      <c r="H247" s="20">
        <v>0</v>
      </c>
      <c r="I247" s="20">
        <v>0</v>
      </c>
      <c r="J247" s="20">
        <v>0</v>
      </c>
      <c r="K247" s="6">
        <f>IFERROR(ROUND(VLOOKUP(D247,#REF!,3,FALSE),0)/1000,0)</f>
        <v>0</v>
      </c>
      <c r="L247" s="14"/>
      <c r="M247" s="20">
        <v>1</v>
      </c>
      <c r="N247" s="8">
        <v>-1</v>
      </c>
      <c r="O247" s="9">
        <v>-1</v>
      </c>
    </row>
    <row r="248" spans="1:15" s="3" customFormat="1" ht="12" outlineLevel="1" thickTop="1" thickBot="1">
      <c r="A248" s="3" t="s">
        <v>418</v>
      </c>
      <c r="B248" s="15" t="s">
        <v>1075</v>
      </c>
      <c r="C248" s="15" t="s">
        <v>409</v>
      </c>
      <c r="D248" s="17" t="s">
        <v>1075</v>
      </c>
      <c r="E248" s="19" t="s">
        <v>419</v>
      </c>
      <c r="F248" s="30">
        <v>-19237</v>
      </c>
      <c r="G248" s="7"/>
      <c r="H248" s="30">
        <v>0</v>
      </c>
      <c r="I248" s="30">
        <v>-19237</v>
      </c>
      <c r="J248" s="30">
        <v>0</v>
      </c>
      <c r="K248" s="30">
        <f>SUM(K241:K247)</f>
        <v>0</v>
      </c>
      <c r="L248" s="7"/>
      <c r="M248" s="30">
        <v>-41594</v>
      </c>
      <c r="N248" s="8">
        <v>-0.53750540943405301</v>
      </c>
      <c r="O248" s="9">
        <v>22357</v>
      </c>
    </row>
    <row r="249" spans="1:15" s="3" customFormat="1" ht="12" outlineLevel="1" thickTop="1" thickBot="1">
      <c r="A249" s="3" t="s">
        <v>420</v>
      </c>
      <c r="B249" s="15" t="s">
        <v>1075</v>
      </c>
      <c r="C249" s="15" t="s">
        <v>1075</v>
      </c>
      <c r="D249" s="17" t="s">
        <v>1075</v>
      </c>
      <c r="F249" s="6"/>
      <c r="G249" s="7"/>
      <c r="H249" s="6"/>
      <c r="I249" s="6"/>
      <c r="J249" s="6"/>
      <c r="K249" s="6"/>
      <c r="L249" s="7"/>
      <c r="M249" s="6"/>
      <c r="N249" s="8" t="s">
        <v>739</v>
      </c>
      <c r="O249" s="9" t="s">
        <v>739</v>
      </c>
    </row>
    <row r="250" spans="1:15" s="3" customFormat="1" ht="12" outlineLevel="1" thickTop="1" thickBot="1">
      <c r="A250" s="3" t="s">
        <v>421</v>
      </c>
      <c r="B250" s="15" t="s">
        <v>1075</v>
      </c>
      <c r="C250" s="15" t="s">
        <v>422</v>
      </c>
      <c r="D250" s="17" t="s">
        <v>1075</v>
      </c>
      <c r="E250" s="19" t="s">
        <v>423</v>
      </c>
      <c r="F250" s="10">
        <v>0</v>
      </c>
      <c r="G250" s="7"/>
      <c r="H250" s="10">
        <v>0</v>
      </c>
      <c r="I250" s="10">
        <v>0</v>
      </c>
      <c r="J250" s="10">
        <v>0</v>
      </c>
      <c r="K250" s="10">
        <v>0</v>
      </c>
      <c r="L250" s="7"/>
      <c r="M250" s="10">
        <v>0</v>
      </c>
      <c r="N250" s="8" t="s">
        <v>739</v>
      </c>
      <c r="O250" s="9">
        <v>0</v>
      </c>
    </row>
    <row r="251" spans="1:15" s="3" customFormat="1" ht="11.25" outlineLevel="1" thickTop="1">
      <c r="A251" s="3" t="s">
        <v>424</v>
      </c>
      <c r="B251" s="15" t="s">
        <v>1075</v>
      </c>
      <c r="C251" s="15" t="s">
        <v>1075</v>
      </c>
      <c r="D251" s="17" t="s">
        <v>1075</v>
      </c>
      <c r="F251" s="6"/>
      <c r="G251" s="7"/>
      <c r="H251" s="6"/>
      <c r="I251" s="6"/>
      <c r="J251" s="6"/>
      <c r="K251" s="6"/>
      <c r="L251" s="7"/>
      <c r="M251" s="6"/>
      <c r="N251" s="8" t="s">
        <v>739</v>
      </c>
      <c r="O251" s="9" t="s">
        <v>739</v>
      </c>
    </row>
    <row r="252" spans="1:15" s="3" customFormat="1" ht="11.25" customHeight="1" outlineLevel="2" thickBot="1">
      <c r="A252" s="3" t="s">
        <v>425</v>
      </c>
      <c r="B252" s="15" t="s">
        <v>1075</v>
      </c>
      <c r="C252" s="15" t="s">
        <v>426</v>
      </c>
      <c r="D252" s="17" t="s">
        <v>1256</v>
      </c>
      <c r="E252" s="3" t="s">
        <v>427</v>
      </c>
      <c r="F252" s="20">
        <v>-12306</v>
      </c>
      <c r="G252" s="14"/>
      <c r="H252" s="20">
        <v>0</v>
      </c>
      <c r="I252" s="20">
        <v>-12306</v>
      </c>
      <c r="J252" s="20">
        <v>0</v>
      </c>
      <c r="K252" s="6">
        <f>-IFERROR(ROUND(VLOOKUP(D252,#REF!,4,FALSE),0)/1000,0)</f>
        <v>0</v>
      </c>
      <c r="L252" s="14"/>
      <c r="M252" s="20">
        <v>-24912</v>
      </c>
      <c r="N252" s="8">
        <v>-0.50602119460500961</v>
      </c>
      <c r="O252" s="9">
        <v>12606</v>
      </c>
    </row>
    <row r="253" spans="1:15" s="3" customFormat="1" ht="12" outlineLevel="1" thickTop="1" thickBot="1">
      <c r="A253" s="3" t="s">
        <v>428</v>
      </c>
      <c r="B253" s="15" t="s">
        <v>1075</v>
      </c>
      <c r="C253" s="15" t="s">
        <v>426</v>
      </c>
      <c r="D253" s="17" t="s">
        <v>1075</v>
      </c>
      <c r="E253" s="19" t="s">
        <v>429</v>
      </c>
      <c r="F253" s="30">
        <v>-12306</v>
      </c>
      <c r="G253" s="7"/>
      <c r="H253" s="30">
        <v>0</v>
      </c>
      <c r="I253" s="30">
        <v>-12306</v>
      </c>
      <c r="J253" s="30">
        <v>0</v>
      </c>
      <c r="K253" s="30">
        <f>SUM(K252)</f>
        <v>0</v>
      </c>
      <c r="L253" s="7"/>
      <c r="M253" s="30">
        <v>-24912</v>
      </c>
      <c r="N253" s="8">
        <v>-0.50602119460500961</v>
      </c>
      <c r="O253" s="9">
        <v>12606</v>
      </c>
    </row>
    <row r="254" spans="1:15" s="3" customFormat="1" ht="11.25" outlineLevel="1" thickTop="1">
      <c r="A254" s="3" t="s">
        <v>430</v>
      </c>
      <c r="B254" s="15" t="s">
        <v>1075</v>
      </c>
      <c r="C254" s="15" t="s">
        <v>1075</v>
      </c>
      <c r="D254" s="17" t="s">
        <v>1075</v>
      </c>
      <c r="F254" s="6"/>
      <c r="G254" s="7"/>
      <c r="H254" s="6"/>
      <c r="I254" s="6"/>
      <c r="J254" s="6"/>
      <c r="K254" s="6"/>
      <c r="L254" s="7"/>
      <c r="M254" s="6"/>
      <c r="N254" s="8" t="s">
        <v>739</v>
      </c>
      <c r="O254" s="9" t="s">
        <v>739</v>
      </c>
    </row>
    <row r="255" spans="1:15" s="3" customFormat="1" ht="11.25" customHeight="1" outlineLevel="2" thickBot="1">
      <c r="A255" s="3" t="s">
        <v>431</v>
      </c>
      <c r="B255" s="15" t="s">
        <v>1075</v>
      </c>
      <c r="C255" s="15" t="s">
        <v>432</v>
      </c>
      <c r="D255" s="17" t="s">
        <v>1257</v>
      </c>
      <c r="E255" s="3" t="s">
        <v>433</v>
      </c>
      <c r="F255" s="20">
        <v>-798</v>
      </c>
      <c r="G255" s="14"/>
      <c r="H255" s="20">
        <v>0</v>
      </c>
      <c r="I255" s="20">
        <v>-798</v>
      </c>
      <c r="J255" s="20">
        <v>0</v>
      </c>
      <c r="K255" s="6">
        <f>-IFERROR(ROUND(VLOOKUP(D255,#REF!,4,FALSE),0)/1000,0)</f>
        <v>0</v>
      </c>
      <c r="L255" s="14"/>
      <c r="M255" s="20">
        <v>-267</v>
      </c>
      <c r="N255" s="8">
        <v>1.9887640449438202</v>
      </c>
      <c r="O255" s="9">
        <v>-531</v>
      </c>
    </row>
    <row r="256" spans="1:15" s="3" customFormat="1" ht="12" outlineLevel="1" thickTop="1" thickBot="1">
      <c r="A256" s="3" t="s">
        <v>434</v>
      </c>
      <c r="B256" s="15" t="s">
        <v>1075</v>
      </c>
      <c r="C256" s="15" t="s">
        <v>432</v>
      </c>
      <c r="D256" s="17" t="s">
        <v>1075</v>
      </c>
      <c r="E256" s="19" t="s">
        <v>435</v>
      </c>
      <c r="F256" s="30">
        <v>-798</v>
      </c>
      <c r="G256" s="7"/>
      <c r="H256" s="30">
        <v>0</v>
      </c>
      <c r="I256" s="30">
        <v>-798</v>
      </c>
      <c r="J256" s="30">
        <v>0</v>
      </c>
      <c r="K256" s="30">
        <f>SUM(K255)</f>
        <v>0</v>
      </c>
      <c r="L256" s="7"/>
      <c r="M256" s="30">
        <v>-267</v>
      </c>
      <c r="N256" s="8">
        <v>1.9887640449438202</v>
      </c>
      <c r="O256" s="9">
        <v>-531</v>
      </c>
    </row>
    <row r="257" spans="1:15" s="3" customFormat="1" ht="11.25" outlineLevel="1" thickTop="1">
      <c r="A257" s="3" t="s">
        <v>436</v>
      </c>
      <c r="B257" s="15" t="s">
        <v>1075</v>
      </c>
      <c r="C257" s="15" t="s">
        <v>1075</v>
      </c>
      <c r="D257" s="17" t="s">
        <v>1075</v>
      </c>
      <c r="F257" s="6"/>
      <c r="G257" s="7"/>
      <c r="H257" s="6"/>
      <c r="I257" s="6"/>
      <c r="J257" s="6"/>
      <c r="K257" s="6"/>
      <c r="L257" s="7"/>
      <c r="M257" s="6"/>
      <c r="N257" s="8" t="s">
        <v>739</v>
      </c>
      <c r="O257" s="9" t="s">
        <v>739</v>
      </c>
    </row>
    <row r="258" spans="1:15" s="3" customFormat="1" ht="10.5" customHeight="1" outlineLevel="2">
      <c r="A258" s="3" t="s">
        <v>437</v>
      </c>
      <c r="B258" s="15" t="s">
        <v>1075</v>
      </c>
      <c r="C258" s="15" t="s">
        <v>438</v>
      </c>
      <c r="D258" s="17" t="s">
        <v>1258</v>
      </c>
      <c r="E258" s="3" t="s">
        <v>439</v>
      </c>
      <c r="F258" s="6">
        <v>0</v>
      </c>
      <c r="G258" s="7"/>
      <c r="H258" s="6">
        <v>0</v>
      </c>
      <c r="I258" s="6">
        <v>0</v>
      </c>
      <c r="J258" s="6">
        <v>0</v>
      </c>
      <c r="K258" s="6">
        <f>-IFERROR(ROUND(VLOOKUP(D258,#REF!,4,FALSE),0)/1000,0)</f>
        <v>0</v>
      </c>
      <c r="L258" s="7"/>
      <c r="M258" s="6">
        <v>0</v>
      </c>
      <c r="N258" s="8" t="s">
        <v>739</v>
      </c>
      <c r="O258" s="9">
        <v>0</v>
      </c>
    </row>
    <row r="259" spans="1:15" s="3" customFormat="1" ht="11.25" customHeight="1" outlineLevel="2" thickBot="1">
      <c r="A259" s="3" t="s">
        <v>440</v>
      </c>
      <c r="B259" s="15" t="s">
        <v>1075</v>
      </c>
      <c r="C259" s="15" t="s">
        <v>438</v>
      </c>
      <c r="D259" s="17" t="s">
        <v>1259</v>
      </c>
      <c r="E259" s="3" t="s">
        <v>441</v>
      </c>
      <c r="F259" s="20">
        <v>-11357</v>
      </c>
      <c r="G259" s="14"/>
      <c r="H259" s="20">
        <v>0</v>
      </c>
      <c r="I259" s="20">
        <v>-11357</v>
      </c>
      <c r="J259" s="20">
        <v>0</v>
      </c>
      <c r="K259" s="6">
        <f>-IFERROR(ROUND(VLOOKUP(D259,#REF!,4,FALSE),0)/1000,0)</f>
        <v>0</v>
      </c>
      <c r="L259" s="14"/>
      <c r="M259" s="20">
        <v>-15081</v>
      </c>
      <c r="N259" s="8">
        <v>-0.24693322723957298</v>
      </c>
      <c r="O259" s="9">
        <v>3724</v>
      </c>
    </row>
    <row r="260" spans="1:15" s="3" customFormat="1" ht="12" outlineLevel="1" thickTop="1" thickBot="1">
      <c r="A260" s="3" t="s">
        <v>442</v>
      </c>
      <c r="B260" s="15" t="s">
        <v>1075</v>
      </c>
      <c r="C260" s="15" t="s">
        <v>438</v>
      </c>
      <c r="D260" s="17" t="s">
        <v>1075</v>
      </c>
      <c r="E260" s="19" t="s">
        <v>443</v>
      </c>
      <c r="F260" s="30">
        <v>-11357</v>
      </c>
      <c r="G260" s="7"/>
      <c r="H260" s="30">
        <v>0</v>
      </c>
      <c r="I260" s="30">
        <v>-11357</v>
      </c>
      <c r="J260" s="30">
        <v>0</v>
      </c>
      <c r="K260" s="30">
        <f>SUM(K258:K259)</f>
        <v>0</v>
      </c>
      <c r="L260" s="7"/>
      <c r="M260" s="30">
        <v>-15081</v>
      </c>
      <c r="N260" s="8">
        <v>-0.24693322723957298</v>
      </c>
      <c r="O260" s="9">
        <v>3724</v>
      </c>
    </row>
    <row r="261" spans="1:15" s="3" customFormat="1" ht="11.25" outlineLevel="1" thickTop="1">
      <c r="A261" s="3" t="s">
        <v>444</v>
      </c>
      <c r="B261" s="15" t="s">
        <v>1075</v>
      </c>
      <c r="C261" s="15" t="s">
        <v>1075</v>
      </c>
      <c r="D261" s="17" t="s">
        <v>1075</v>
      </c>
      <c r="F261" s="6"/>
      <c r="G261" s="7"/>
      <c r="H261" s="6"/>
      <c r="I261" s="6"/>
      <c r="J261" s="6"/>
      <c r="K261" s="6"/>
      <c r="L261" s="7"/>
      <c r="M261" s="6"/>
      <c r="N261" s="8" t="s">
        <v>739</v>
      </c>
      <c r="O261" s="9" t="s">
        <v>739</v>
      </c>
    </row>
    <row r="262" spans="1:15" s="3" customFormat="1" ht="10.5" customHeight="1" outlineLevel="2">
      <c r="A262" s="3" t="s">
        <v>445</v>
      </c>
      <c r="B262" s="15" t="s">
        <v>1075</v>
      </c>
      <c r="C262" s="15" t="s">
        <v>446</v>
      </c>
      <c r="D262" s="17" t="s">
        <v>1260</v>
      </c>
      <c r="E262" s="3" t="s">
        <v>447</v>
      </c>
      <c r="F262" s="6">
        <v>-3014</v>
      </c>
      <c r="G262" s="7"/>
      <c r="H262" s="6">
        <v>0</v>
      </c>
      <c r="I262" s="6">
        <v>-3014</v>
      </c>
      <c r="J262" s="6">
        <v>0</v>
      </c>
      <c r="K262" s="6">
        <f>-IFERROR(ROUND(VLOOKUP(D262,#REF!,4,FALSE),0)/1000,0)</f>
        <v>0</v>
      </c>
      <c r="L262" s="7"/>
      <c r="M262" s="6">
        <v>-854</v>
      </c>
      <c r="N262" s="8">
        <v>2.5292740046838409</v>
      </c>
      <c r="O262" s="9">
        <v>-2160</v>
      </c>
    </row>
    <row r="263" spans="1:15" s="3" customFormat="1" ht="10.5" customHeight="1" outlineLevel="2">
      <c r="A263" s="3" t="s">
        <v>448</v>
      </c>
      <c r="B263" s="15" t="s">
        <v>1075</v>
      </c>
      <c r="C263" s="15" t="s">
        <v>446</v>
      </c>
      <c r="D263" s="17" t="s">
        <v>1261</v>
      </c>
      <c r="E263" s="3" t="s">
        <v>449</v>
      </c>
      <c r="F263" s="6">
        <v>-1339</v>
      </c>
      <c r="G263" s="7"/>
      <c r="H263" s="6">
        <v>0</v>
      </c>
      <c r="I263" s="6">
        <v>-1339</v>
      </c>
      <c r="J263" s="6">
        <v>0</v>
      </c>
      <c r="K263" s="6">
        <f>-IFERROR(ROUND(VLOOKUP(D263,#REF!,4,FALSE),0)/1000,0)</f>
        <v>0</v>
      </c>
      <c r="L263" s="7"/>
      <c r="M263" s="6">
        <v>-4757</v>
      </c>
      <c r="N263" s="8">
        <v>-0.71852007567794829</v>
      </c>
      <c r="O263" s="9">
        <v>3418</v>
      </c>
    </row>
    <row r="264" spans="1:15" s="3" customFormat="1" ht="10.5" customHeight="1" outlineLevel="2">
      <c r="A264" s="3" t="s">
        <v>450</v>
      </c>
      <c r="B264" s="15" t="s">
        <v>1075</v>
      </c>
      <c r="C264" s="15" t="s">
        <v>446</v>
      </c>
      <c r="D264" s="17" t="s">
        <v>1262</v>
      </c>
      <c r="E264" s="3" t="s">
        <v>451</v>
      </c>
      <c r="F264" s="6">
        <v>-267</v>
      </c>
      <c r="G264" s="7"/>
      <c r="H264" s="6">
        <v>0</v>
      </c>
      <c r="I264" s="6">
        <v>-267</v>
      </c>
      <c r="J264" s="6">
        <v>0</v>
      </c>
      <c r="K264" s="6">
        <f>-IFERROR(ROUND(VLOOKUP(D264,#REF!,4,FALSE),0)/1000,0)</f>
        <v>0</v>
      </c>
      <c r="L264" s="7"/>
      <c r="M264" s="6">
        <v>-147</v>
      </c>
      <c r="N264" s="8">
        <v>0.81632653061224492</v>
      </c>
      <c r="O264" s="9">
        <v>-120</v>
      </c>
    </row>
    <row r="265" spans="1:15" s="3" customFormat="1" ht="10.5" customHeight="1" outlineLevel="2">
      <c r="A265" s="3" t="s">
        <v>452</v>
      </c>
      <c r="B265" s="15" t="s">
        <v>1075</v>
      </c>
      <c r="C265" s="15" t="s">
        <v>446</v>
      </c>
      <c r="D265" s="17" t="s">
        <v>1263</v>
      </c>
      <c r="E265" s="3" t="s">
        <v>453</v>
      </c>
      <c r="F265" s="6">
        <v>-1023</v>
      </c>
      <c r="G265" s="7"/>
      <c r="H265" s="6">
        <v>0</v>
      </c>
      <c r="I265" s="6">
        <v>-1023</v>
      </c>
      <c r="J265" s="6">
        <v>0</v>
      </c>
      <c r="K265" s="6">
        <f>-IFERROR(ROUND(VLOOKUP(D265,#REF!,4,FALSE),0)/1000,0)</f>
        <v>0</v>
      </c>
      <c r="L265" s="7"/>
      <c r="M265" s="6">
        <v>-1178</v>
      </c>
      <c r="N265" s="8">
        <v>-0.13157894736842105</v>
      </c>
      <c r="O265" s="9">
        <v>155</v>
      </c>
    </row>
    <row r="266" spans="1:15" s="3" customFormat="1" ht="10.5" customHeight="1" outlineLevel="2">
      <c r="A266" s="3" t="s">
        <v>454</v>
      </c>
      <c r="B266" s="15" t="s">
        <v>1075</v>
      </c>
      <c r="C266" s="15" t="s">
        <v>446</v>
      </c>
      <c r="D266" s="17" t="s">
        <v>1264</v>
      </c>
      <c r="E266" s="3" t="s">
        <v>455</v>
      </c>
      <c r="F266" s="6">
        <v>-49</v>
      </c>
      <c r="G266" s="7"/>
      <c r="H266" s="6">
        <v>0</v>
      </c>
      <c r="I266" s="6">
        <v>-49</v>
      </c>
      <c r="J266" s="6">
        <v>0</v>
      </c>
      <c r="K266" s="6">
        <f>-IFERROR(ROUND(VLOOKUP(D266,#REF!,4,FALSE),0)/1000,0)</f>
        <v>0</v>
      </c>
      <c r="L266" s="7"/>
      <c r="M266" s="6">
        <v>-294</v>
      </c>
      <c r="N266" s="8">
        <v>-0.83333333333333337</v>
      </c>
      <c r="O266" s="9">
        <v>245</v>
      </c>
    </row>
    <row r="267" spans="1:15" s="3" customFormat="1" ht="10.5" customHeight="1" outlineLevel="2">
      <c r="A267" s="3" t="s">
        <v>456</v>
      </c>
      <c r="B267" s="15" t="s">
        <v>1075</v>
      </c>
      <c r="C267" s="15" t="s">
        <v>446</v>
      </c>
      <c r="D267" s="17" t="s">
        <v>1265</v>
      </c>
      <c r="E267" s="3" t="s">
        <v>457</v>
      </c>
      <c r="F267" s="6">
        <v>-51</v>
      </c>
      <c r="G267" s="7"/>
      <c r="H267" s="6">
        <v>0</v>
      </c>
      <c r="I267" s="6">
        <v>-51</v>
      </c>
      <c r="J267" s="6">
        <v>0</v>
      </c>
      <c r="K267" s="6">
        <f>-IFERROR(ROUND(VLOOKUP(D267,#REF!,4,FALSE),0)/1000,0)</f>
        <v>0</v>
      </c>
      <c r="L267" s="7"/>
      <c r="M267" s="6">
        <v>-330</v>
      </c>
      <c r="N267" s="8">
        <v>-0.84545454545454546</v>
      </c>
      <c r="O267" s="9">
        <v>279</v>
      </c>
    </row>
    <row r="268" spans="1:15" s="3" customFormat="1" ht="10.5" customHeight="1" outlineLevel="2">
      <c r="A268" s="3" t="s">
        <v>458</v>
      </c>
      <c r="B268" s="15" t="s">
        <v>1075</v>
      </c>
      <c r="C268" s="15" t="s">
        <v>446</v>
      </c>
      <c r="D268" s="17" t="s">
        <v>1266</v>
      </c>
      <c r="E268" s="3" t="s">
        <v>459</v>
      </c>
      <c r="F268" s="6">
        <v>0</v>
      </c>
      <c r="G268" s="7"/>
      <c r="H268" s="6">
        <v>0</v>
      </c>
      <c r="I268" s="6">
        <v>0</v>
      </c>
      <c r="J268" s="6">
        <v>0</v>
      </c>
      <c r="K268" s="6">
        <f>-IFERROR(ROUND(VLOOKUP(D268,#REF!,4,FALSE),0)/1000,0)</f>
        <v>0</v>
      </c>
      <c r="L268" s="7"/>
      <c r="M268" s="6">
        <v>-392</v>
      </c>
      <c r="N268" s="8">
        <v>-1</v>
      </c>
      <c r="O268" s="9">
        <v>392</v>
      </c>
    </row>
    <row r="269" spans="1:15" s="3" customFormat="1" ht="10.5" customHeight="1" outlineLevel="2">
      <c r="A269" s="3" t="s">
        <v>460</v>
      </c>
      <c r="B269" s="15" t="s">
        <v>1075</v>
      </c>
      <c r="C269" s="15" t="s">
        <v>446</v>
      </c>
      <c r="D269" s="17" t="s">
        <v>1267</v>
      </c>
      <c r="E269" s="3" t="s">
        <v>461</v>
      </c>
      <c r="F269" s="6">
        <v>0</v>
      </c>
      <c r="G269" s="7"/>
      <c r="H269" s="6">
        <v>0</v>
      </c>
      <c r="I269" s="6">
        <v>0</v>
      </c>
      <c r="J269" s="6">
        <v>0</v>
      </c>
      <c r="K269" s="6">
        <f>-IFERROR(ROUND(VLOOKUP(D269,#REF!,4,FALSE),0)/1000,0)</f>
        <v>0</v>
      </c>
      <c r="L269" s="7"/>
      <c r="M269" s="6">
        <v>-53</v>
      </c>
      <c r="N269" s="8">
        <v>-1</v>
      </c>
      <c r="O269" s="9">
        <v>53</v>
      </c>
    </row>
    <row r="270" spans="1:15" s="3" customFormat="1" ht="10.5" customHeight="1" outlineLevel="2">
      <c r="A270" s="3" t="s">
        <v>462</v>
      </c>
      <c r="B270" s="15" t="s">
        <v>1075</v>
      </c>
      <c r="C270" s="15" t="s">
        <v>446</v>
      </c>
      <c r="D270" s="17" t="s">
        <v>1268</v>
      </c>
      <c r="E270" s="3" t="s">
        <v>463</v>
      </c>
      <c r="F270" s="6">
        <v>0</v>
      </c>
      <c r="G270" s="7"/>
      <c r="H270" s="6">
        <v>0</v>
      </c>
      <c r="I270" s="6">
        <v>0</v>
      </c>
      <c r="J270" s="6">
        <v>0</v>
      </c>
      <c r="K270" s="6">
        <f>-IFERROR(ROUND(VLOOKUP(D270,#REF!,4,FALSE),0)/1000,0)</f>
        <v>0</v>
      </c>
      <c r="L270" s="7"/>
      <c r="M270" s="6">
        <v>0</v>
      </c>
      <c r="N270" s="8" t="s">
        <v>739</v>
      </c>
      <c r="O270" s="9">
        <v>0</v>
      </c>
    </row>
    <row r="271" spans="1:15" s="3" customFormat="1" ht="10.5" customHeight="1" outlineLevel="2">
      <c r="A271" s="3" t="s">
        <v>464</v>
      </c>
      <c r="B271" s="15" t="s">
        <v>1075</v>
      </c>
      <c r="C271" s="15" t="s">
        <v>446</v>
      </c>
      <c r="D271" s="17" t="s">
        <v>1269</v>
      </c>
      <c r="E271" s="3" t="s">
        <v>465</v>
      </c>
      <c r="F271" s="6">
        <v>-42</v>
      </c>
      <c r="G271" s="7"/>
      <c r="H271" s="6">
        <v>0</v>
      </c>
      <c r="I271" s="6">
        <v>-42</v>
      </c>
      <c r="J271" s="6">
        <v>0</v>
      </c>
      <c r="K271" s="6">
        <f>-IFERROR(ROUND(VLOOKUP(D271,#REF!,4,FALSE),0)/1000,0)</f>
        <v>0</v>
      </c>
      <c r="L271" s="7"/>
      <c r="M271" s="6">
        <v>-1064</v>
      </c>
      <c r="N271" s="8">
        <v>-0.96052631578947367</v>
      </c>
      <c r="O271" s="9">
        <v>1022</v>
      </c>
    </row>
    <row r="272" spans="1:15" s="3" customFormat="1" ht="10.5" customHeight="1" outlineLevel="2">
      <c r="A272" s="3" t="s">
        <v>466</v>
      </c>
      <c r="B272" s="15" t="s">
        <v>1075</v>
      </c>
      <c r="C272" s="15" t="s">
        <v>446</v>
      </c>
      <c r="D272" s="17" t="s">
        <v>1270</v>
      </c>
      <c r="E272" s="3" t="s">
        <v>467</v>
      </c>
      <c r="F272" s="6">
        <v>0</v>
      </c>
      <c r="G272" s="7"/>
      <c r="H272" s="6">
        <v>0</v>
      </c>
      <c r="I272" s="6">
        <v>0</v>
      </c>
      <c r="J272" s="6">
        <v>0</v>
      </c>
      <c r="K272" s="6">
        <f>-IFERROR(ROUND(VLOOKUP(D272,#REF!,4,FALSE),0)/1000,0)</f>
        <v>0</v>
      </c>
      <c r="L272" s="7"/>
      <c r="M272" s="6">
        <v>0</v>
      </c>
      <c r="N272" s="8" t="s">
        <v>739</v>
      </c>
      <c r="O272" s="9">
        <v>0</v>
      </c>
    </row>
    <row r="273" spans="1:15" s="3" customFormat="1" ht="10.5" customHeight="1" outlineLevel="2">
      <c r="A273" s="3" t="s">
        <v>468</v>
      </c>
      <c r="B273" s="15" t="s">
        <v>1075</v>
      </c>
      <c r="C273" s="15" t="s">
        <v>446</v>
      </c>
      <c r="D273" s="17" t="s">
        <v>1271</v>
      </c>
      <c r="E273" s="3" t="s">
        <v>469</v>
      </c>
      <c r="F273" s="6">
        <v>-469</v>
      </c>
      <c r="G273" s="7"/>
      <c r="H273" s="6">
        <v>0</v>
      </c>
      <c r="I273" s="6">
        <v>-469</v>
      </c>
      <c r="J273" s="6">
        <v>0</v>
      </c>
      <c r="K273" s="6">
        <f>-IFERROR(ROUND(VLOOKUP(D273,#REF!,4,FALSE),0)/1000,0)</f>
        <v>0</v>
      </c>
      <c r="L273" s="7"/>
      <c r="M273" s="6">
        <v>-1844</v>
      </c>
      <c r="N273" s="8">
        <v>-0.74566160520607372</v>
      </c>
      <c r="O273" s="9">
        <v>1375</v>
      </c>
    </row>
    <row r="274" spans="1:15" s="3" customFormat="1" ht="10.5" customHeight="1" outlineLevel="2">
      <c r="A274" s="3" t="s">
        <v>470</v>
      </c>
      <c r="B274" s="15" t="s">
        <v>1075</v>
      </c>
      <c r="C274" s="15" t="s">
        <v>446</v>
      </c>
      <c r="D274" s="17" t="s">
        <v>1272</v>
      </c>
      <c r="E274" s="3" t="s">
        <v>471</v>
      </c>
      <c r="F274" s="6">
        <v>-8616</v>
      </c>
      <c r="G274" s="7"/>
      <c r="H274" s="6">
        <v>0</v>
      </c>
      <c r="I274" s="6">
        <v>-8616</v>
      </c>
      <c r="J274" s="6">
        <v>0</v>
      </c>
      <c r="K274" s="6">
        <f>-IFERROR(ROUND(VLOOKUP(D274,#REF!,4,FALSE),0)/1000,0)</f>
        <v>0</v>
      </c>
      <c r="L274" s="7"/>
      <c r="M274" s="6">
        <v>-18821</v>
      </c>
      <c r="N274" s="8">
        <v>-0.54221348493703836</v>
      </c>
      <c r="O274" s="9">
        <v>10205</v>
      </c>
    </row>
    <row r="275" spans="1:15" s="3" customFormat="1" ht="10.5" customHeight="1" outlineLevel="2">
      <c r="A275" s="3" t="s">
        <v>472</v>
      </c>
      <c r="B275" s="15" t="s">
        <v>1075</v>
      </c>
      <c r="C275" s="15" t="s">
        <v>446</v>
      </c>
      <c r="D275" s="17" t="s">
        <v>1273</v>
      </c>
      <c r="E275" s="3" t="s">
        <v>473</v>
      </c>
      <c r="F275" s="6">
        <v>-4449</v>
      </c>
      <c r="G275" s="7"/>
      <c r="H275" s="6">
        <v>0</v>
      </c>
      <c r="I275" s="6">
        <v>-4449</v>
      </c>
      <c r="J275" s="6">
        <v>0</v>
      </c>
      <c r="K275" s="6">
        <f>-IFERROR(ROUND(VLOOKUP(D275,#REF!,4,FALSE),0)/1000,0)</f>
        <v>0</v>
      </c>
      <c r="L275" s="7"/>
      <c r="M275" s="6">
        <v>-3868</v>
      </c>
      <c r="N275" s="8">
        <v>0.15020682523267839</v>
      </c>
      <c r="O275" s="9">
        <v>-581</v>
      </c>
    </row>
    <row r="276" spans="1:15" s="3" customFormat="1" ht="10.5" customHeight="1" outlineLevel="2">
      <c r="A276" s="3" t="s">
        <v>474</v>
      </c>
      <c r="B276" s="15" t="s">
        <v>1075</v>
      </c>
      <c r="C276" s="15" t="s">
        <v>446</v>
      </c>
      <c r="D276" s="17" t="s">
        <v>1274</v>
      </c>
      <c r="E276" s="3" t="s">
        <v>475</v>
      </c>
      <c r="F276" s="6">
        <v>0</v>
      </c>
      <c r="G276" s="7"/>
      <c r="H276" s="6">
        <v>0</v>
      </c>
      <c r="I276" s="6">
        <v>0</v>
      </c>
      <c r="J276" s="6">
        <v>0</v>
      </c>
      <c r="K276" s="6">
        <f>-IFERROR(ROUND(VLOOKUP(D276,#REF!,4,FALSE),0)/1000,0)</f>
        <v>0</v>
      </c>
      <c r="L276" s="7"/>
      <c r="M276" s="6">
        <v>0</v>
      </c>
      <c r="N276" s="8" t="s">
        <v>739</v>
      </c>
      <c r="O276" s="9">
        <v>0</v>
      </c>
    </row>
    <row r="277" spans="1:15" s="3" customFormat="1" ht="10.5" customHeight="1" outlineLevel="2">
      <c r="A277" s="3" t="s">
        <v>476</v>
      </c>
      <c r="B277" s="15" t="s">
        <v>1075</v>
      </c>
      <c r="C277" s="15" t="s">
        <v>446</v>
      </c>
      <c r="D277" s="17" t="s">
        <v>1275</v>
      </c>
      <c r="E277" s="3" t="s">
        <v>477</v>
      </c>
      <c r="F277" s="6">
        <v>-7788</v>
      </c>
      <c r="G277" s="7"/>
      <c r="H277" s="6">
        <v>0</v>
      </c>
      <c r="I277" s="6">
        <v>-7788</v>
      </c>
      <c r="J277" s="6">
        <v>0</v>
      </c>
      <c r="K277" s="6">
        <f>-IFERROR(ROUND(VLOOKUP(D277,#REF!,4,FALSE),0)/1000,0)</f>
        <v>0</v>
      </c>
      <c r="L277" s="7"/>
      <c r="M277" s="6">
        <v>-4095</v>
      </c>
      <c r="N277" s="8">
        <v>0.90183150183150185</v>
      </c>
      <c r="O277" s="9">
        <v>-3693</v>
      </c>
    </row>
    <row r="278" spans="1:15" s="3" customFormat="1" ht="10.5" customHeight="1" outlineLevel="2">
      <c r="A278" s="3" t="s">
        <v>478</v>
      </c>
      <c r="B278" s="15" t="s">
        <v>1075</v>
      </c>
      <c r="C278" s="15" t="s">
        <v>446</v>
      </c>
      <c r="D278" s="17" t="s">
        <v>1276</v>
      </c>
      <c r="E278" s="3" t="s">
        <v>479</v>
      </c>
      <c r="F278" s="6">
        <v>-787</v>
      </c>
      <c r="G278" s="7"/>
      <c r="H278" s="6">
        <v>0</v>
      </c>
      <c r="I278" s="6">
        <v>-787</v>
      </c>
      <c r="J278" s="6">
        <v>0</v>
      </c>
      <c r="K278" s="6">
        <f>-IFERROR(ROUND(VLOOKUP(D278,#REF!,4,FALSE),0)/1000,0)</f>
        <v>0</v>
      </c>
      <c r="L278" s="7"/>
      <c r="M278" s="6">
        <v>-850</v>
      </c>
      <c r="N278" s="8">
        <v>-7.4117647058823524E-2</v>
      </c>
      <c r="O278" s="9">
        <v>63</v>
      </c>
    </row>
    <row r="279" spans="1:15" s="3" customFormat="1" ht="11.25" customHeight="1" outlineLevel="2" thickBot="1">
      <c r="A279" s="3" t="s">
        <v>480</v>
      </c>
      <c r="B279" s="15" t="s">
        <v>1075</v>
      </c>
      <c r="C279" s="15" t="s">
        <v>446</v>
      </c>
      <c r="D279" s="17" t="s">
        <v>1277</v>
      </c>
      <c r="E279" s="3" t="s">
        <v>481</v>
      </c>
      <c r="F279" s="20">
        <v>-2646</v>
      </c>
      <c r="G279" s="14"/>
      <c r="H279" s="20">
        <v>0</v>
      </c>
      <c r="I279" s="20">
        <v>-2646</v>
      </c>
      <c r="J279" s="20">
        <v>0</v>
      </c>
      <c r="K279" s="6">
        <f>-IFERROR(ROUND(VLOOKUP(D279,#REF!,4,FALSE),0)/1000,0)</f>
        <v>0</v>
      </c>
      <c r="L279" s="14"/>
      <c r="M279" s="20">
        <v>0</v>
      </c>
      <c r="N279" s="8" t="s">
        <v>739</v>
      </c>
      <c r="O279" s="9">
        <v>-2646</v>
      </c>
    </row>
    <row r="280" spans="1:15" s="3" customFormat="1" ht="11.25" customHeight="1" outlineLevel="2" thickTop="1">
      <c r="A280" s="3" t="s">
        <v>1565</v>
      </c>
      <c r="B280" s="15" t="s">
        <v>1075</v>
      </c>
      <c r="C280" s="15" t="s">
        <v>446</v>
      </c>
      <c r="D280" s="17" t="s">
        <v>1567</v>
      </c>
      <c r="E280" s="17" t="s">
        <v>1566</v>
      </c>
      <c r="F280" s="479">
        <v>-6</v>
      </c>
      <c r="G280" s="14"/>
      <c r="H280" s="479">
        <v>0</v>
      </c>
      <c r="I280" s="479">
        <v>-6</v>
      </c>
      <c r="J280" s="479">
        <v>0</v>
      </c>
      <c r="K280" s="6">
        <f>-IFERROR(ROUND(VLOOKUP(D280,#REF!,4,FALSE),0)/1000,0)</f>
        <v>0</v>
      </c>
      <c r="L280" s="14"/>
      <c r="M280" s="479">
        <v>0</v>
      </c>
      <c r="N280" s="8" t="s">
        <v>739</v>
      </c>
      <c r="O280" s="9">
        <v>-6</v>
      </c>
    </row>
    <row r="281" spans="1:15" s="3" customFormat="1" ht="10.5" customHeight="1" outlineLevel="2">
      <c r="A281" s="3" t="s">
        <v>1568</v>
      </c>
      <c r="B281" s="15" t="s">
        <v>1075</v>
      </c>
      <c r="C281" s="15" t="s">
        <v>446</v>
      </c>
      <c r="D281" s="17" t="s">
        <v>1570</v>
      </c>
      <c r="E281" s="17" t="s">
        <v>1569</v>
      </c>
      <c r="F281" s="6">
        <v>-6207</v>
      </c>
      <c r="G281" s="14"/>
      <c r="H281" s="6">
        <v>0</v>
      </c>
      <c r="I281" s="6">
        <v>-6207</v>
      </c>
      <c r="J281" s="6">
        <v>0</v>
      </c>
      <c r="K281" s="6">
        <f>-IFERROR(ROUND(VLOOKUP(D281,#REF!,4,FALSE),0)/1000,0)</f>
        <v>0</v>
      </c>
      <c r="L281" s="14"/>
      <c r="M281" s="6">
        <v>0</v>
      </c>
      <c r="N281" s="8" t="s">
        <v>739</v>
      </c>
      <c r="O281" s="9">
        <v>-6207</v>
      </c>
    </row>
    <row r="282" spans="1:15" s="3" customFormat="1" ht="10.5" customHeight="1" outlineLevel="2">
      <c r="B282" s="15"/>
      <c r="C282" s="15"/>
      <c r="D282" s="17" t="s">
        <v>1912</v>
      </c>
      <c r="E282" s="17" t="s">
        <v>1913</v>
      </c>
      <c r="F282" s="6"/>
      <c r="G282" s="14"/>
      <c r="H282" s="6"/>
      <c r="I282" s="6"/>
      <c r="J282" s="6"/>
      <c r="K282" s="6">
        <f>-IFERROR(ROUND(VLOOKUP(D282,#REF!,4,FALSE),0)/1000,0)</f>
        <v>0</v>
      </c>
      <c r="L282" s="14"/>
      <c r="M282" s="6"/>
      <c r="N282" s="8"/>
      <c r="O282" s="9"/>
    </row>
    <row r="283" spans="1:15" s="3" customFormat="1" ht="10.5" customHeight="1" outlineLevel="2">
      <c r="A283" s="3" t="s">
        <v>1571</v>
      </c>
      <c r="B283" s="15" t="s">
        <v>1075</v>
      </c>
      <c r="C283" s="15" t="s">
        <v>446</v>
      </c>
      <c r="D283" s="17" t="s">
        <v>1573</v>
      </c>
      <c r="E283" s="17" t="s">
        <v>1572</v>
      </c>
      <c r="F283" s="27">
        <v>-6561</v>
      </c>
      <c r="G283" s="14"/>
      <c r="H283" s="27">
        <v>0</v>
      </c>
      <c r="I283" s="27">
        <v>-6561</v>
      </c>
      <c r="J283" s="27">
        <v>0</v>
      </c>
      <c r="K283" s="6">
        <f>-IFERROR(ROUND(VLOOKUP(D283,#REF!,4,FALSE),0)/1000,0)</f>
        <v>0</v>
      </c>
      <c r="L283" s="14"/>
      <c r="M283" s="27">
        <v>0</v>
      </c>
      <c r="N283" s="8" t="s">
        <v>739</v>
      </c>
      <c r="O283" s="9">
        <v>-6561</v>
      </c>
    </row>
    <row r="284" spans="1:15" s="3" customFormat="1" ht="11.25" outlineLevel="1" thickBot="1">
      <c r="A284" s="3" t="s">
        <v>482</v>
      </c>
      <c r="B284" s="15" t="s">
        <v>1075</v>
      </c>
      <c r="C284" s="15" t="s">
        <v>446</v>
      </c>
      <c r="D284" s="17" t="s">
        <v>1075</v>
      </c>
      <c r="E284" s="19" t="s">
        <v>483</v>
      </c>
      <c r="F284" s="31">
        <v>-43314</v>
      </c>
      <c r="G284" s="7"/>
      <c r="H284" s="31">
        <v>0</v>
      </c>
      <c r="I284" s="31">
        <v>-43314</v>
      </c>
      <c r="J284" s="31">
        <v>0</v>
      </c>
      <c r="K284" s="31">
        <f>SUM(K262:K283)</f>
        <v>0</v>
      </c>
      <c r="L284" s="7"/>
      <c r="M284" s="31">
        <v>-38547</v>
      </c>
      <c r="N284" s="8">
        <v>0.12366721145614444</v>
      </c>
      <c r="O284" s="9">
        <v>-4767</v>
      </c>
    </row>
    <row r="285" spans="1:15" s="3" customFormat="1" ht="11.25" outlineLevel="1" thickTop="1">
      <c r="A285" s="3" t="s">
        <v>484</v>
      </c>
      <c r="B285" s="15" t="s">
        <v>1075</v>
      </c>
      <c r="C285" s="15" t="s">
        <v>1075</v>
      </c>
      <c r="D285" s="17" t="s">
        <v>1075</v>
      </c>
      <c r="F285" s="6"/>
      <c r="G285" s="7"/>
      <c r="H285" s="6"/>
      <c r="I285" s="6"/>
      <c r="J285" s="6"/>
      <c r="K285" s="6"/>
      <c r="L285" s="7"/>
      <c r="M285" s="6"/>
      <c r="N285" s="8" t="s">
        <v>739</v>
      </c>
      <c r="O285" s="9" t="s">
        <v>739</v>
      </c>
    </row>
    <row r="286" spans="1:15" s="3" customFormat="1" ht="10.5" customHeight="1" outlineLevel="2">
      <c r="A286" s="3" t="s">
        <v>485</v>
      </c>
      <c r="B286" s="15" t="s">
        <v>1075</v>
      </c>
      <c r="C286" s="15" t="s">
        <v>486</v>
      </c>
      <c r="D286" s="17" t="s">
        <v>1278</v>
      </c>
      <c r="E286" s="3" t="s">
        <v>487</v>
      </c>
      <c r="F286" s="6">
        <v>0</v>
      </c>
      <c r="G286" s="7"/>
      <c r="H286" s="6">
        <v>0</v>
      </c>
      <c r="I286" s="6">
        <v>0</v>
      </c>
      <c r="J286" s="6">
        <v>0</v>
      </c>
      <c r="K286" s="6">
        <f>IFERROR(ROUND(VLOOKUP(D286,#REF!,3,FALSE),0)/1000,0)</f>
        <v>0</v>
      </c>
      <c r="L286" s="7"/>
      <c r="M286" s="6">
        <v>0</v>
      </c>
      <c r="N286" s="8" t="s">
        <v>739</v>
      </c>
      <c r="O286" s="9">
        <v>0</v>
      </c>
    </row>
    <row r="287" spans="1:15" s="3" customFormat="1" ht="10.5" customHeight="1" outlineLevel="2">
      <c r="A287" s="3" t="s">
        <v>488</v>
      </c>
      <c r="B287" s="15" t="s">
        <v>1075</v>
      </c>
      <c r="C287" s="15" t="s">
        <v>486</v>
      </c>
      <c r="D287" s="17" t="s">
        <v>1279</v>
      </c>
      <c r="E287" s="3" t="s">
        <v>489</v>
      </c>
      <c r="F287" s="6">
        <v>3805</v>
      </c>
      <c r="G287" s="7"/>
      <c r="H287" s="6">
        <v>0</v>
      </c>
      <c r="I287" s="6">
        <v>3805</v>
      </c>
      <c r="J287" s="6">
        <v>0</v>
      </c>
      <c r="K287" s="6">
        <f>IFERROR(ROUND(VLOOKUP(D287,#REF!,3,FALSE),0)/1000,0)</f>
        <v>0</v>
      </c>
      <c r="L287" s="7"/>
      <c r="M287" s="6">
        <v>-2524</v>
      </c>
      <c r="N287" s="8">
        <v>-2.5075277337559427</v>
      </c>
      <c r="O287" s="9">
        <v>6329</v>
      </c>
    </row>
    <row r="288" spans="1:15" s="3" customFormat="1" ht="10.5" customHeight="1" outlineLevel="2">
      <c r="A288" s="3" t="s">
        <v>490</v>
      </c>
      <c r="B288" s="15" t="s">
        <v>1075</v>
      </c>
      <c r="C288" s="15" t="s">
        <v>486</v>
      </c>
      <c r="D288" s="17" t="s">
        <v>1280</v>
      </c>
      <c r="E288" s="3" t="s">
        <v>491</v>
      </c>
      <c r="F288" s="6">
        <v>84</v>
      </c>
      <c r="G288" s="7"/>
      <c r="H288" s="6">
        <v>0</v>
      </c>
      <c r="I288" s="6">
        <v>84</v>
      </c>
      <c r="J288" s="6">
        <v>0</v>
      </c>
      <c r="K288" s="6">
        <f>IFERROR(ROUND(VLOOKUP(D288,#REF!,3,FALSE),0)/1000,0)</f>
        <v>0</v>
      </c>
      <c r="L288" s="7"/>
      <c r="M288" s="6">
        <v>0</v>
      </c>
      <c r="N288" s="8" t="s">
        <v>739</v>
      </c>
      <c r="O288" s="9">
        <v>84</v>
      </c>
    </row>
    <row r="289" spans="1:15" s="3" customFormat="1" ht="11.25" customHeight="1" outlineLevel="2" thickBot="1">
      <c r="A289" s="3" t="s">
        <v>492</v>
      </c>
      <c r="B289" s="15" t="s">
        <v>1075</v>
      </c>
      <c r="C289" s="15" t="s">
        <v>486</v>
      </c>
      <c r="D289" s="17" t="s">
        <v>1281</v>
      </c>
      <c r="E289" s="3" t="s">
        <v>493</v>
      </c>
      <c r="F289" s="20">
        <v>-4</v>
      </c>
      <c r="G289" s="14"/>
      <c r="H289" s="20">
        <v>0</v>
      </c>
      <c r="I289" s="20">
        <v>-4</v>
      </c>
      <c r="J289" s="20">
        <v>0</v>
      </c>
      <c r="K289" s="6">
        <f>IFERROR(ROUND(VLOOKUP(D289,#REF!,3,FALSE),0)/1000,0)</f>
        <v>0</v>
      </c>
      <c r="L289" s="14"/>
      <c r="M289" s="20">
        <v>2</v>
      </c>
      <c r="N289" s="8">
        <v>-3</v>
      </c>
      <c r="O289" s="9">
        <v>-6</v>
      </c>
    </row>
    <row r="290" spans="1:15" s="3" customFormat="1" ht="12" outlineLevel="1" thickTop="1" thickBot="1">
      <c r="A290" s="3" t="s">
        <v>494</v>
      </c>
      <c r="B290" s="15" t="s">
        <v>1075</v>
      </c>
      <c r="C290" s="15" t="s">
        <v>486</v>
      </c>
      <c r="D290" s="17" t="s">
        <v>1075</v>
      </c>
      <c r="E290" s="19" t="s">
        <v>495</v>
      </c>
      <c r="F290" s="30">
        <v>3885</v>
      </c>
      <c r="G290" s="7"/>
      <c r="H290" s="30">
        <v>0</v>
      </c>
      <c r="I290" s="30">
        <v>3885</v>
      </c>
      <c r="J290" s="30">
        <v>0</v>
      </c>
      <c r="K290" s="30">
        <f>SUM(K286:K289)</f>
        <v>0</v>
      </c>
      <c r="L290" s="7"/>
      <c r="M290" s="30">
        <v>-2522</v>
      </c>
      <c r="N290" s="8">
        <v>-2.5404440919904836</v>
      </c>
      <c r="O290" s="9">
        <v>6407</v>
      </c>
    </row>
    <row r="291" spans="1:15" s="3" customFormat="1" ht="11.25" outlineLevel="1" thickTop="1">
      <c r="A291" s="3" t="s">
        <v>496</v>
      </c>
      <c r="B291" s="15" t="s">
        <v>1075</v>
      </c>
      <c r="C291" s="15" t="s">
        <v>1075</v>
      </c>
      <c r="D291" s="17" t="s">
        <v>1075</v>
      </c>
      <c r="F291" s="6"/>
      <c r="G291" s="7"/>
      <c r="H291" s="6"/>
      <c r="I291" s="6"/>
      <c r="J291" s="6"/>
      <c r="K291" s="6"/>
      <c r="L291" s="7"/>
      <c r="M291" s="6"/>
      <c r="N291" s="8" t="s">
        <v>739</v>
      </c>
      <c r="O291" s="9" t="s">
        <v>739</v>
      </c>
    </row>
    <row r="292" spans="1:15" s="3" customFormat="1" ht="11.25" customHeight="1" outlineLevel="2" thickBot="1">
      <c r="A292" s="3" t="s">
        <v>497</v>
      </c>
      <c r="B292" s="15" t="s">
        <v>1075</v>
      </c>
      <c r="C292" s="15" t="s">
        <v>498</v>
      </c>
      <c r="D292" s="17" t="s">
        <v>1282</v>
      </c>
      <c r="E292" s="3" t="s">
        <v>499</v>
      </c>
      <c r="F292" s="20">
        <v>-2045</v>
      </c>
      <c r="G292" s="14"/>
      <c r="H292" s="20">
        <v>0</v>
      </c>
      <c r="I292" s="20">
        <v>-2045</v>
      </c>
      <c r="J292" s="20">
        <v>0</v>
      </c>
      <c r="K292" s="6">
        <f>-IFERROR(ROUND(VLOOKUP(D292,#REF!,4,FALSE),0)/1000,0)</f>
        <v>0</v>
      </c>
      <c r="L292" s="14"/>
      <c r="M292" s="20">
        <v>-13541</v>
      </c>
      <c r="N292" s="8">
        <v>-0.84897718041503578</v>
      </c>
      <c r="O292" s="9">
        <v>11496</v>
      </c>
    </row>
    <row r="293" spans="1:15" s="3" customFormat="1" ht="12" outlineLevel="1" thickTop="1" thickBot="1">
      <c r="A293" s="3" t="s">
        <v>500</v>
      </c>
      <c r="B293" s="15" t="s">
        <v>1075</v>
      </c>
      <c r="C293" s="15" t="s">
        <v>498</v>
      </c>
      <c r="D293" s="17" t="s">
        <v>1075</v>
      </c>
      <c r="E293" s="19" t="s">
        <v>501</v>
      </c>
      <c r="F293" s="30">
        <v>-2045</v>
      </c>
      <c r="G293" s="7"/>
      <c r="H293" s="30">
        <v>0</v>
      </c>
      <c r="I293" s="30">
        <v>-2045</v>
      </c>
      <c r="J293" s="30">
        <v>0</v>
      </c>
      <c r="K293" s="30">
        <f>SUM(K292)</f>
        <v>0</v>
      </c>
      <c r="L293" s="7"/>
      <c r="M293" s="30">
        <v>-13541</v>
      </c>
      <c r="N293" s="8">
        <v>-0.84897718041503578</v>
      </c>
      <c r="O293" s="9">
        <v>11496</v>
      </c>
    </row>
    <row r="294" spans="1:15" s="3" customFormat="1" ht="11.25" outlineLevel="1" thickTop="1">
      <c r="A294" s="3" t="s">
        <v>502</v>
      </c>
      <c r="B294" s="15" t="s">
        <v>1075</v>
      </c>
      <c r="C294" s="15" t="s">
        <v>1075</v>
      </c>
      <c r="D294" s="17" t="s">
        <v>1075</v>
      </c>
      <c r="F294" s="6"/>
      <c r="G294" s="7"/>
      <c r="H294" s="6"/>
      <c r="I294" s="6"/>
      <c r="J294" s="6"/>
      <c r="K294" s="6"/>
      <c r="L294" s="7"/>
      <c r="M294" s="6"/>
      <c r="N294" s="8" t="s">
        <v>739</v>
      </c>
      <c r="O294" s="9" t="s">
        <v>739</v>
      </c>
    </row>
    <row r="295" spans="1:15" s="3" customFormat="1" ht="10.5" customHeight="1" outlineLevel="2">
      <c r="A295" s="3" t="s">
        <v>503</v>
      </c>
      <c r="B295" s="15" t="s">
        <v>1075</v>
      </c>
      <c r="C295" s="15" t="s">
        <v>1111</v>
      </c>
      <c r="D295" s="17" t="s">
        <v>1283</v>
      </c>
      <c r="E295" s="3" t="s">
        <v>504</v>
      </c>
      <c r="F295" s="6">
        <v>0</v>
      </c>
      <c r="G295" s="7"/>
      <c r="H295" s="6">
        <v>0</v>
      </c>
      <c r="I295" s="6">
        <v>0</v>
      </c>
      <c r="J295" s="6">
        <v>0</v>
      </c>
      <c r="K295" s="6">
        <v>0</v>
      </c>
      <c r="L295" s="7"/>
      <c r="M295" s="6">
        <v>2756</v>
      </c>
      <c r="N295" s="8">
        <v>-1</v>
      </c>
      <c r="O295" s="9">
        <v>-2756</v>
      </c>
    </row>
    <row r="296" spans="1:15" s="3" customFormat="1" ht="11.25" customHeight="1" outlineLevel="2" thickBot="1">
      <c r="A296" s="3" t="s">
        <v>505</v>
      </c>
      <c r="B296" s="15" t="s">
        <v>1075</v>
      </c>
      <c r="C296" s="15" t="s">
        <v>1111</v>
      </c>
      <c r="D296" s="17" t="s">
        <v>1284</v>
      </c>
      <c r="E296" s="3" t="s">
        <v>506</v>
      </c>
      <c r="F296" s="20">
        <v>0</v>
      </c>
      <c r="G296" s="14"/>
      <c r="H296" s="20">
        <v>0</v>
      </c>
      <c r="I296" s="20">
        <v>0</v>
      </c>
      <c r="J296" s="20">
        <v>0</v>
      </c>
      <c r="K296" s="20">
        <v>0</v>
      </c>
      <c r="L296" s="14"/>
      <c r="M296" s="20">
        <v>0</v>
      </c>
      <c r="N296" s="8" t="s">
        <v>739</v>
      </c>
      <c r="O296" s="9">
        <v>0</v>
      </c>
    </row>
    <row r="297" spans="1:15" s="3" customFormat="1" ht="12" outlineLevel="1" thickTop="1" thickBot="1">
      <c r="A297" s="3" t="s">
        <v>507</v>
      </c>
      <c r="B297" s="15" t="s">
        <v>1075</v>
      </c>
      <c r="C297" s="15" t="s">
        <v>1111</v>
      </c>
      <c r="D297" s="17" t="s">
        <v>1075</v>
      </c>
      <c r="E297" s="19" t="s">
        <v>508</v>
      </c>
      <c r="F297" s="30">
        <v>0</v>
      </c>
      <c r="G297" s="7"/>
      <c r="H297" s="30">
        <v>0</v>
      </c>
      <c r="I297" s="30">
        <v>0</v>
      </c>
      <c r="J297" s="30">
        <v>0</v>
      </c>
      <c r="K297" s="30">
        <v>0</v>
      </c>
      <c r="L297" s="7"/>
      <c r="M297" s="30">
        <v>2756</v>
      </c>
      <c r="N297" s="8">
        <v>-1</v>
      </c>
      <c r="O297" s="9">
        <v>-2756</v>
      </c>
    </row>
    <row r="298" spans="1:15" s="3" customFormat="1" ht="11.25" outlineLevel="1" thickTop="1">
      <c r="A298" s="3" t="s">
        <v>509</v>
      </c>
      <c r="B298" s="15" t="s">
        <v>1075</v>
      </c>
      <c r="C298" s="15" t="s">
        <v>1075</v>
      </c>
      <c r="D298" s="17" t="s">
        <v>1075</v>
      </c>
      <c r="F298" s="6"/>
      <c r="G298" s="7"/>
      <c r="H298" s="6"/>
      <c r="I298" s="6"/>
      <c r="J298" s="6"/>
      <c r="K298" s="6"/>
      <c r="L298" s="7"/>
      <c r="M298" s="6"/>
      <c r="N298" s="8" t="s">
        <v>739</v>
      </c>
      <c r="O298" s="9" t="s">
        <v>739</v>
      </c>
    </row>
    <row r="299" spans="1:15" s="3" customFormat="1" ht="10.5" customHeight="1" outlineLevel="2">
      <c r="A299" s="3" t="s">
        <v>510</v>
      </c>
      <c r="B299" s="15" t="s">
        <v>1075</v>
      </c>
      <c r="C299" s="15" t="s">
        <v>1112</v>
      </c>
      <c r="D299" s="17" t="s">
        <v>1285</v>
      </c>
      <c r="E299" s="3" t="s">
        <v>511</v>
      </c>
      <c r="F299" s="6">
        <v>18854</v>
      </c>
      <c r="G299" s="7"/>
      <c r="H299" s="6">
        <v>0</v>
      </c>
      <c r="I299" s="6">
        <v>18854</v>
      </c>
      <c r="J299" s="6">
        <v>0</v>
      </c>
      <c r="K299" s="6">
        <f>IFERROR(ROUND(VLOOKUP(D299,#REF!,3,FALSE),0)/1000,0)</f>
        <v>0</v>
      </c>
      <c r="L299" s="7"/>
      <c r="M299" s="6">
        <v>33688</v>
      </c>
      <c r="N299" s="8">
        <v>-0.44033483733080031</v>
      </c>
      <c r="O299" s="9">
        <v>-14834</v>
      </c>
    </row>
    <row r="300" spans="1:15" s="3" customFormat="1" ht="10.5" customHeight="1" outlineLevel="2">
      <c r="A300" s="3" t="s">
        <v>512</v>
      </c>
      <c r="B300" s="15" t="s">
        <v>1075</v>
      </c>
      <c r="C300" s="15" t="s">
        <v>1112</v>
      </c>
      <c r="D300" s="17" t="s">
        <v>1286</v>
      </c>
      <c r="E300" s="3" t="s">
        <v>513</v>
      </c>
      <c r="F300" s="6">
        <v>2451</v>
      </c>
      <c r="G300" s="7"/>
      <c r="H300" s="6">
        <v>0</v>
      </c>
      <c r="I300" s="6">
        <v>2451</v>
      </c>
      <c r="J300" s="6">
        <v>0</v>
      </c>
      <c r="K300" s="6">
        <f>IFERROR(ROUND(VLOOKUP(D300,#REF!,3,FALSE),0)/1000,0)</f>
        <v>0</v>
      </c>
      <c r="L300" s="7"/>
      <c r="M300" s="6">
        <v>4379</v>
      </c>
      <c r="N300" s="8">
        <v>-0.44028316967344144</v>
      </c>
      <c r="O300" s="9">
        <v>-1928</v>
      </c>
    </row>
    <row r="301" spans="1:15" s="3" customFormat="1" ht="11.25" customHeight="1" outlineLevel="2" thickBot="1">
      <c r="A301" s="3" t="s">
        <v>514</v>
      </c>
      <c r="B301" s="15" t="s">
        <v>1075</v>
      </c>
      <c r="C301" s="15" t="s">
        <v>1112</v>
      </c>
      <c r="D301" s="17" t="s">
        <v>1287</v>
      </c>
      <c r="E301" s="3" t="s">
        <v>515</v>
      </c>
      <c r="F301" s="20">
        <v>0</v>
      </c>
      <c r="G301" s="14"/>
      <c r="H301" s="20">
        <v>0</v>
      </c>
      <c r="I301" s="20">
        <v>0</v>
      </c>
      <c r="J301" s="20">
        <v>0</v>
      </c>
      <c r="K301" s="6">
        <f>IFERROR(ROUND(VLOOKUP(D301,#REF!,3,FALSE),0)/1000,0)</f>
        <v>0</v>
      </c>
      <c r="L301" s="14"/>
      <c r="M301" s="20">
        <v>0</v>
      </c>
      <c r="N301" s="8" t="s">
        <v>739</v>
      </c>
      <c r="O301" s="9">
        <v>0</v>
      </c>
    </row>
    <row r="302" spans="1:15" s="3" customFormat="1" ht="12" outlineLevel="1" thickTop="1" thickBot="1">
      <c r="A302" s="3" t="s">
        <v>516</v>
      </c>
      <c r="B302" s="15" t="s">
        <v>1075</v>
      </c>
      <c r="C302" s="15" t="s">
        <v>1112</v>
      </c>
      <c r="D302" s="17" t="s">
        <v>1075</v>
      </c>
      <c r="E302" s="19" t="s">
        <v>517</v>
      </c>
      <c r="F302" s="30">
        <v>21305</v>
      </c>
      <c r="G302" s="7"/>
      <c r="H302" s="30">
        <v>0</v>
      </c>
      <c r="I302" s="30">
        <v>21305</v>
      </c>
      <c r="J302" s="30">
        <v>0</v>
      </c>
      <c r="K302" s="30">
        <f>SUM(K299:K301)</f>
        <v>0</v>
      </c>
      <c r="L302" s="7"/>
      <c r="M302" s="30">
        <v>38067</v>
      </c>
      <c r="N302" s="8">
        <v>-0.44032889379252371</v>
      </c>
      <c r="O302" s="9">
        <v>-16762</v>
      </c>
    </row>
    <row r="303" spans="1:15" s="3" customFormat="1" ht="11.25" outlineLevel="1" thickTop="1">
      <c r="A303" s="3" t="s">
        <v>518</v>
      </c>
      <c r="B303" s="15" t="s">
        <v>1075</v>
      </c>
      <c r="C303" s="15" t="s">
        <v>1075</v>
      </c>
      <c r="D303" s="17" t="s">
        <v>1075</v>
      </c>
      <c r="F303" s="6"/>
      <c r="G303" s="7"/>
      <c r="H303" s="6"/>
      <c r="I303" s="6"/>
      <c r="J303" s="6"/>
      <c r="K303" s="6"/>
      <c r="L303" s="7"/>
      <c r="M303" s="6"/>
      <c r="N303" s="8" t="s">
        <v>739</v>
      </c>
      <c r="O303" s="9" t="s">
        <v>739</v>
      </c>
    </row>
    <row r="304" spans="1:15" s="3" customFormat="1" ht="11.25" customHeight="1" outlineLevel="2" thickBot="1">
      <c r="A304" s="3" t="s">
        <v>519</v>
      </c>
      <c r="B304" s="15" t="s">
        <v>1075</v>
      </c>
      <c r="C304" s="15" t="s">
        <v>520</v>
      </c>
      <c r="D304" s="17" t="s">
        <v>1288</v>
      </c>
      <c r="E304" s="3" t="s">
        <v>521</v>
      </c>
      <c r="F304" s="20">
        <v>2412</v>
      </c>
      <c r="G304" s="14"/>
      <c r="H304" s="20">
        <v>0</v>
      </c>
      <c r="I304" s="20">
        <v>2412</v>
      </c>
      <c r="J304" s="20">
        <v>0</v>
      </c>
      <c r="K304" s="6">
        <f>IFERROR(ROUND(VLOOKUP(D304,#REF!,3,FALSE),0)/1000,0)</f>
        <v>0</v>
      </c>
      <c r="L304" s="14"/>
      <c r="M304" s="20">
        <v>2920</v>
      </c>
      <c r="N304" s="8">
        <v>-0.17397260273972603</v>
      </c>
      <c r="O304" s="9">
        <v>-508</v>
      </c>
    </row>
    <row r="305" spans="1:15" s="3" customFormat="1" ht="11.25" customHeight="1" outlineLevel="2" thickTop="1" thickBot="1">
      <c r="B305" s="15"/>
      <c r="C305" s="15"/>
      <c r="D305" s="17" t="s">
        <v>1326</v>
      </c>
      <c r="E305" s="3" t="s">
        <v>649</v>
      </c>
      <c r="F305" s="6"/>
      <c r="G305" s="14"/>
      <c r="H305" s="6"/>
      <c r="I305" s="6"/>
      <c r="J305" s="6"/>
      <c r="K305" s="6">
        <f>IFERROR(ROUND(VLOOKUP(D305,#REF!,3,FALSE),0)/1000,0)</f>
        <v>0</v>
      </c>
      <c r="L305" s="14"/>
      <c r="M305" s="6"/>
      <c r="N305" s="8"/>
      <c r="O305" s="9"/>
    </row>
    <row r="306" spans="1:15" s="3" customFormat="1" ht="12" outlineLevel="1" thickTop="1" thickBot="1">
      <c r="A306" s="3" t="s">
        <v>522</v>
      </c>
      <c r="B306" s="15" t="s">
        <v>1075</v>
      </c>
      <c r="C306" s="15" t="s">
        <v>520</v>
      </c>
      <c r="D306" s="17" t="s">
        <v>1075</v>
      </c>
      <c r="E306" s="19" t="s">
        <v>523</v>
      </c>
      <c r="F306" s="30">
        <v>2412</v>
      </c>
      <c r="G306" s="7"/>
      <c r="H306" s="30">
        <v>0</v>
      </c>
      <c r="I306" s="30">
        <v>2412</v>
      </c>
      <c r="J306" s="30">
        <v>0</v>
      </c>
      <c r="K306" s="30">
        <f>SUM(K304:K305)</f>
        <v>0</v>
      </c>
      <c r="L306" s="7"/>
      <c r="M306" s="30">
        <v>2920</v>
      </c>
      <c r="N306" s="8">
        <v>-0.17397260273972603</v>
      </c>
      <c r="O306" s="9">
        <v>-508</v>
      </c>
    </row>
    <row r="307" spans="1:15" s="3" customFormat="1" ht="11.25" outlineLevel="1" thickTop="1">
      <c r="A307" s="3" t="s">
        <v>524</v>
      </c>
      <c r="B307" s="15" t="s">
        <v>1075</v>
      </c>
      <c r="C307" s="15" t="s">
        <v>1075</v>
      </c>
      <c r="D307" s="17" t="s">
        <v>1075</v>
      </c>
      <c r="F307" s="6"/>
      <c r="G307" s="7"/>
      <c r="H307" s="6"/>
      <c r="I307" s="6"/>
      <c r="J307" s="6"/>
      <c r="K307" s="6"/>
      <c r="L307" s="7"/>
      <c r="M307" s="6"/>
      <c r="N307" s="8" t="s">
        <v>739</v>
      </c>
      <c r="O307" s="9" t="s">
        <v>739</v>
      </c>
    </row>
    <row r="308" spans="1:15" s="3" customFormat="1" ht="11.25" customHeight="1" outlineLevel="2" thickBot="1">
      <c r="A308" s="3" t="s">
        <v>525</v>
      </c>
      <c r="B308" s="15" t="s">
        <v>1075</v>
      </c>
      <c r="C308" s="15" t="s">
        <v>526</v>
      </c>
      <c r="D308" s="17" t="s">
        <v>1289</v>
      </c>
      <c r="E308" s="3" t="s">
        <v>527</v>
      </c>
      <c r="F308" s="20">
        <v>1378</v>
      </c>
      <c r="G308" s="14"/>
      <c r="H308" s="20">
        <v>0</v>
      </c>
      <c r="I308" s="20">
        <v>1378</v>
      </c>
      <c r="J308" s="20">
        <v>0</v>
      </c>
      <c r="K308" s="6">
        <f>IFERROR(ROUND(VLOOKUP(D308,#REF!,3,FALSE),0)/1000,0)</f>
        <v>0</v>
      </c>
      <c r="L308" s="14"/>
      <c r="M308" s="20">
        <v>1826</v>
      </c>
      <c r="N308" s="8">
        <v>-0.24534501642935377</v>
      </c>
      <c r="O308" s="9">
        <v>-448</v>
      </c>
    </row>
    <row r="309" spans="1:15" s="3" customFormat="1" ht="12" outlineLevel="1" thickTop="1" thickBot="1">
      <c r="A309" s="3" t="s">
        <v>528</v>
      </c>
      <c r="B309" s="15" t="s">
        <v>1075</v>
      </c>
      <c r="C309" s="15" t="s">
        <v>526</v>
      </c>
      <c r="D309" s="17" t="s">
        <v>1075</v>
      </c>
      <c r="E309" s="19" t="s">
        <v>529</v>
      </c>
      <c r="F309" s="30">
        <v>1378</v>
      </c>
      <c r="G309" s="7"/>
      <c r="H309" s="30">
        <v>0</v>
      </c>
      <c r="I309" s="30">
        <v>1378</v>
      </c>
      <c r="J309" s="30">
        <v>0</v>
      </c>
      <c r="K309" s="30">
        <f>SUM(K308)</f>
        <v>0</v>
      </c>
      <c r="L309" s="7"/>
      <c r="M309" s="30">
        <v>1826</v>
      </c>
      <c r="N309" s="8">
        <v>-0.24534501642935377</v>
      </c>
      <c r="O309" s="9">
        <v>-448</v>
      </c>
    </row>
    <row r="310" spans="1:15" s="3" customFormat="1" ht="11.25" outlineLevel="1" thickTop="1">
      <c r="A310" s="3" t="s">
        <v>530</v>
      </c>
      <c r="B310" s="15" t="s">
        <v>1075</v>
      </c>
      <c r="C310" s="15" t="s">
        <v>1075</v>
      </c>
      <c r="D310" s="17" t="s">
        <v>1075</v>
      </c>
      <c r="F310" s="6"/>
      <c r="G310" s="7"/>
      <c r="H310" s="6"/>
      <c r="I310" s="6"/>
      <c r="J310" s="6"/>
      <c r="K310" s="6"/>
      <c r="L310" s="7"/>
      <c r="M310" s="6"/>
      <c r="N310" s="8" t="s">
        <v>739</v>
      </c>
      <c r="O310" s="9" t="s">
        <v>739</v>
      </c>
    </row>
    <row r="311" spans="1:15" s="3" customFormat="1" ht="10.5" customHeight="1" outlineLevel="2">
      <c r="A311" s="3" t="s">
        <v>531</v>
      </c>
      <c r="B311" s="15" t="s">
        <v>1075</v>
      </c>
      <c r="C311" s="15" t="s">
        <v>1113</v>
      </c>
      <c r="D311" s="17" t="s">
        <v>1290</v>
      </c>
      <c r="E311" s="3" t="s">
        <v>532</v>
      </c>
      <c r="F311" s="6">
        <v>389</v>
      </c>
      <c r="G311" s="7"/>
      <c r="H311" s="6">
        <v>0</v>
      </c>
      <c r="I311" s="6">
        <v>389</v>
      </c>
      <c r="J311" s="6">
        <v>0</v>
      </c>
      <c r="K311" s="6">
        <f>IFERROR(ROUND(VLOOKUP(D311,#REF!,3,FALSE),0)/1000,0)</f>
        <v>0</v>
      </c>
      <c r="L311" s="7"/>
      <c r="M311" s="6">
        <v>4321</v>
      </c>
      <c r="N311" s="8">
        <v>-0.90997454292987734</v>
      </c>
      <c r="O311" s="9">
        <v>-3932</v>
      </c>
    </row>
    <row r="312" spans="1:15" s="3" customFormat="1" ht="10.5" customHeight="1" outlineLevel="2">
      <c r="A312" s="3" t="s">
        <v>533</v>
      </c>
      <c r="B312" s="15" t="s">
        <v>1075</v>
      </c>
      <c r="C312" s="15" t="s">
        <v>1113</v>
      </c>
      <c r="D312" s="17" t="s">
        <v>1291</v>
      </c>
      <c r="E312" s="3" t="s">
        <v>534</v>
      </c>
      <c r="F312" s="6">
        <v>133</v>
      </c>
      <c r="G312" s="7"/>
      <c r="H312" s="6">
        <v>0</v>
      </c>
      <c r="I312" s="6">
        <v>133</v>
      </c>
      <c r="J312" s="6">
        <v>0</v>
      </c>
      <c r="K312" s="6">
        <f>IFERROR(ROUND(VLOOKUP(D312,#REF!,3,FALSE),0)/1000,0)</f>
        <v>0</v>
      </c>
      <c r="L312" s="7"/>
      <c r="M312" s="6">
        <v>518</v>
      </c>
      <c r="N312" s="8">
        <v>-0.7432432432432432</v>
      </c>
      <c r="O312" s="9">
        <v>-385</v>
      </c>
    </row>
    <row r="313" spans="1:15" s="3" customFormat="1" ht="10.5" customHeight="1" outlineLevel="2">
      <c r="A313" s="3" t="s">
        <v>535</v>
      </c>
      <c r="B313" s="15" t="s">
        <v>1075</v>
      </c>
      <c r="C313" s="15" t="s">
        <v>1113</v>
      </c>
      <c r="D313" s="17" t="s">
        <v>1292</v>
      </c>
      <c r="E313" s="3" t="s">
        <v>536</v>
      </c>
      <c r="F313" s="6">
        <v>358</v>
      </c>
      <c r="G313" s="7"/>
      <c r="H313" s="6">
        <v>0</v>
      </c>
      <c r="I313" s="6">
        <v>358</v>
      </c>
      <c r="J313" s="6">
        <v>0</v>
      </c>
      <c r="K313" s="6">
        <f>IFERROR(ROUND(VLOOKUP(D313,#REF!,3,FALSE),0)/1000,0)</f>
        <v>0</v>
      </c>
      <c r="L313" s="7"/>
      <c r="M313" s="6">
        <v>749</v>
      </c>
      <c r="N313" s="8">
        <v>-0.52202937249666226</v>
      </c>
      <c r="O313" s="9">
        <v>-391</v>
      </c>
    </row>
    <row r="314" spans="1:15" s="3" customFormat="1" ht="10.5" customHeight="1" outlineLevel="2">
      <c r="A314" s="3" t="s">
        <v>537</v>
      </c>
      <c r="B314" s="15" t="s">
        <v>1075</v>
      </c>
      <c r="C314" s="15" t="s">
        <v>1113</v>
      </c>
      <c r="D314" s="17" t="s">
        <v>1293</v>
      </c>
      <c r="E314" s="3" t="s">
        <v>538</v>
      </c>
      <c r="F314" s="6">
        <v>134</v>
      </c>
      <c r="G314" s="7"/>
      <c r="H314" s="6">
        <v>0</v>
      </c>
      <c r="I314" s="6">
        <v>134</v>
      </c>
      <c r="J314" s="6">
        <v>0</v>
      </c>
      <c r="K314" s="6">
        <f>IFERROR(ROUND(VLOOKUP(D314,#REF!,3,FALSE),0)/1000,0)</f>
        <v>0</v>
      </c>
      <c r="L314" s="7"/>
      <c r="M314" s="6">
        <v>417</v>
      </c>
      <c r="N314" s="8">
        <v>-0.67865707434052758</v>
      </c>
      <c r="O314" s="9">
        <v>-283</v>
      </c>
    </row>
    <row r="315" spans="1:15" s="3" customFormat="1" ht="10.5" customHeight="1" outlineLevel="2">
      <c r="A315" s="3" t="s">
        <v>539</v>
      </c>
      <c r="B315" s="15" t="s">
        <v>1075</v>
      </c>
      <c r="C315" s="15" t="s">
        <v>1113</v>
      </c>
      <c r="D315" s="17" t="s">
        <v>1294</v>
      </c>
      <c r="E315" s="3" t="s">
        <v>540</v>
      </c>
      <c r="F315" s="6">
        <v>236</v>
      </c>
      <c r="G315" s="7"/>
      <c r="H315" s="6">
        <v>0</v>
      </c>
      <c r="I315" s="6">
        <v>236</v>
      </c>
      <c r="J315" s="6">
        <v>0</v>
      </c>
      <c r="K315" s="6">
        <f>IFERROR(ROUND(VLOOKUP(D315,#REF!,3,FALSE),0)/1000,0)</f>
        <v>0</v>
      </c>
      <c r="L315" s="7"/>
      <c r="M315" s="6">
        <v>242</v>
      </c>
      <c r="N315" s="8">
        <v>-2.4793388429752067E-2</v>
      </c>
      <c r="O315" s="9">
        <v>-6</v>
      </c>
    </row>
    <row r="316" spans="1:15" s="3" customFormat="1" ht="11.25" customHeight="1" outlineLevel="2" thickBot="1">
      <c r="A316" s="3" t="s">
        <v>541</v>
      </c>
      <c r="B316" s="15" t="s">
        <v>1075</v>
      </c>
      <c r="C316" s="15" t="s">
        <v>1113</v>
      </c>
      <c r="D316" s="17" t="s">
        <v>1295</v>
      </c>
      <c r="E316" s="3" t="s">
        <v>542</v>
      </c>
      <c r="F316" s="20">
        <v>171</v>
      </c>
      <c r="G316" s="14"/>
      <c r="H316" s="20">
        <v>0</v>
      </c>
      <c r="I316" s="20">
        <v>171</v>
      </c>
      <c r="J316" s="20">
        <v>0</v>
      </c>
      <c r="K316" s="6">
        <f>IFERROR(ROUND(VLOOKUP(D316,#REF!,3,FALSE),0)/1000,0)</f>
        <v>0</v>
      </c>
      <c r="L316" s="14"/>
      <c r="M316" s="20">
        <v>66</v>
      </c>
      <c r="N316" s="8">
        <v>1.5909090909090908</v>
      </c>
      <c r="O316" s="9">
        <v>105</v>
      </c>
    </row>
    <row r="317" spans="1:15" s="3" customFormat="1" ht="12" outlineLevel="1" thickTop="1" thickBot="1">
      <c r="A317" s="3" t="s">
        <v>543</v>
      </c>
      <c r="B317" s="15" t="s">
        <v>1075</v>
      </c>
      <c r="C317" s="15" t="s">
        <v>1113</v>
      </c>
      <c r="D317" s="17" t="s">
        <v>1075</v>
      </c>
      <c r="E317" s="19" t="s">
        <v>544</v>
      </c>
      <c r="F317" s="30">
        <v>1421</v>
      </c>
      <c r="G317" s="7"/>
      <c r="H317" s="30">
        <v>0</v>
      </c>
      <c r="I317" s="30">
        <v>1421</v>
      </c>
      <c r="J317" s="30">
        <v>0</v>
      </c>
      <c r="K317" s="30">
        <f>SUM(K311:K316)</f>
        <v>0</v>
      </c>
      <c r="L317" s="7"/>
      <c r="M317" s="30">
        <v>6313</v>
      </c>
      <c r="N317" s="8">
        <v>-0.77490891810549656</v>
      </c>
      <c r="O317" s="9">
        <v>-4892</v>
      </c>
    </row>
    <row r="318" spans="1:15" s="3" customFormat="1" ht="12" outlineLevel="1" thickTop="1" thickBot="1">
      <c r="A318" s="3" t="s">
        <v>545</v>
      </c>
      <c r="B318" s="15" t="s">
        <v>1075</v>
      </c>
      <c r="C318" s="15" t="s">
        <v>1075</v>
      </c>
      <c r="D318" s="17" t="s">
        <v>1075</v>
      </c>
      <c r="F318" s="6"/>
      <c r="G318" s="7"/>
      <c r="H318" s="6"/>
      <c r="I318" s="6"/>
      <c r="J318" s="6"/>
      <c r="K318" s="6"/>
      <c r="L318" s="7"/>
      <c r="M318" s="6"/>
      <c r="N318" s="8" t="s">
        <v>739</v>
      </c>
      <c r="O318" s="9" t="s">
        <v>739</v>
      </c>
    </row>
    <row r="319" spans="1:15" s="3" customFormat="1" ht="12" outlineLevel="1" thickTop="1" thickBot="1">
      <c r="A319" s="3" t="s">
        <v>546</v>
      </c>
      <c r="B319" s="15" t="s">
        <v>1075</v>
      </c>
      <c r="C319" s="15" t="s">
        <v>1114</v>
      </c>
      <c r="D319" s="17" t="s">
        <v>1075</v>
      </c>
      <c r="E319" s="19" t="s">
        <v>547</v>
      </c>
      <c r="F319" s="10">
        <v>0</v>
      </c>
      <c r="G319" s="7"/>
      <c r="H319" s="10">
        <v>0</v>
      </c>
      <c r="I319" s="10">
        <v>0</v>
      </c>
      <c r="J319" s="10">
        <v>0</v>
      </c>
      <c r="K319" s="10">
        <v>0</v>
      </c>
      <c r="L319" s="7"/>
      <c r="M319" s="10">
        <v>0</v>
      </c>
      <c r="N319" s="8" t="s">
        <v>739</v>
      </c>
      <c r="O319" s="9">
        <v>0</v>
      </c>
    </row>
    <row r="320" spans="1:15" s="3" customFormat="1" ht="12" outlineLevel="1" thickTop="1" thickBot="1">
      <c r="A320" s="3" t="s">
        <v>548</v>
      </c>
      <c r="B320" s="15" t="s">
        <v>1075</v>
      </c>
      <c r="C320" s="15" t="s">
        <v>1075</v>
      </c>
      <c r="D320" s="17" t="s">
        <v>1075</v>
      </c>
      <c r="F320" s="6"/>
      <c r="G320" s="7"/>
      <c r="H320" s="6"/>
      <c r="I320" s="6"/>
      <c r="J320" s="6"/>
      <c r="K320" s="6"/>
      <c r="L320" s="7"/>
      <c r="M320" s="6"/>
      <c r="N320" s="8" t="s">
        <v>739</v>
      </c>
      <c r="O320" s="9" t="s">
        <v>739</v>
      </c>
    </row>
    <row r="321" spans="1:15" s="3" customFormat="1" ht="12" outlineLevel="1" thickTop="1" thickBot="1">
      <c r="A321" s="3" t="s">
        <v>549</v>
      </c>
      <c r="B321" s="15" t="s">
        <v>1075</v>
      </c>
      <c r="C321" s="15" t="s">
        <v>1115</v>
      </c>
      <c r="D321" s="17" t="s">
        <v>1075</v>
      </c>
      <c r="E321" s="19" t="s">
        <v>550</v>
      </c>
      <c r="F321" s="10">
        <v>0</v>
      </c>
      <c r="G321" s="7"/>
      <c r="H321" s="10">
        <v>0</v>
      </c>
      <c r="I321" s="10">
        <v>0</v>
      </c>
      <c r="J321" s="10">
        <v>0</v>
      </c>
      <c r="K321" s="10">
        <v>0</v>
      </c>
      <c r="L321" s="7"/>
      <c r="M321" s="10">
        <v>0</v>
      </c>
      <c r="N321" s="8" t="s">
        <v>739</v>
      </c>
      <c r="O321" s="9">
        <v>0</v>
      </c>
    </row>
    <row r="322" spans="1:15" s="3" customFormat="1" ht="11.25" outlineLevel="1" thickTop="1">
      <c r="A322" s="3" t="s">
        <v>551</v>
      </c>
      <c r="B322" s="15" t="s">
        <v>1075</v>
      </c>
      <c r="C322" s="15" t="s">
        <v>1075</v>
      </c>
      <c r="D322" s="17" t="s">
        <v>1075</v>
      </c>
      <c r="F322" s="6"/>
      <c r="G322" s="7"/>
      <c r="H322" s="6"/>
      <c r="I322" s="6"/>
      <c r="J322" s="6"/>
      <c r="K322" s="6"/>
      <c r="L322" s="7"/>
      <c r="M322" s="6"/>
      <c r="N322" s="8" t="s">
        <v>739</v>
      </c>
      <c r="O322" s="9" t="s">
        <v>739</v>
      </c>
    </row>
    <row r="323" spans="1:15" s="3" customFormat="1" ht="10.5" customHeight="1" outlineLevel="2">
      <c r="A323" s="3" t="s">
        <v>552</v>
      </c>
      <c r="B323" s="15" t="s">
        <v>1075</v>
      </c>
      <c r="C323" s="15" t="s">
        <v>1116</v>
      </c>
      <c r="D323" s="17" t="s">
        <v>1296</v>
      </c>
      <c r="E323" s="3" t="s">
        <v>553</v>
      </c>
      <c r="F323" s="6">
        <v>32</v>
      </c>
      <c r="G323" s="7"/>
      <c r="H323" s="6">
        <v>0</v>
      </c>
      <c r="I323" s="6">
        <v>32</v>
      </c>
      <c r="J323" s="6">
        <v>0</v>
      </c>
      <c r="K323" s="6">
        <f>IFERROR(ROUND(VLOOKUP(D323,#REF!,3,FALSE),0)/1000,0)</f>
        <v>0</v>
      </c>
      <c r="L323" s="7"/>
      <c r="M323" s="6">
        <v>4</v>
      </c>
      <c r="N323" s="8">
        <v>7</v>
      </c>
      <c r="O323" s="9">
        <v>28</v>
      </c>
    </row>
    <row r="324" spans="1:15" s="3" customFormat="1" ht="10.5" customHeight="1" outlineLevel="2">
      <c r="A324" s="3" t="s">
        <v>554</v>
      </c>
      <c r="B324" s="15" t="s">
        <v>1075</v>
      </c>
      <c r="C324" s="15" t="s">
        <v>1116</v>
      </c>
      <c r="D324" s="17" t="s">
        <v>1297</v>
      </c>
      <c r="E324" s="3" t="s">
        <v>555</v>
      </c>
      <c r="F324" s="6">
        <v>15</v>
      </c>
      <c r="G324" s="7"/>
      <c r="H324" s="6">
        <v>0</v>
      </c>
      <c r="I324" s="6">
        <v>15</v>
      </c>
      <c r="J324" s="6">
        <v>0</v>
      </c>
      <c r="K324" s="6">
        <f>IFERROR(ROUND(VLOOKUP(D324,#REF!,3,FALSE),0)/1000,0)</f>
        <v>0</v>
      </c>
      <c r="L324" s="7"/>
      <c r="M324" s="6">
        <v>51</v>
      </c>
      <c r="N324" s="8">
        <v>-0.70588235294117652</v>
      </c>
      <c r="O324" s="9">
        <v>-36</v>
      </c>
    </row>
    <row r="325" spans="1:15" s="3" customFormat="1" ht="10.5" customHeight="1" outlineLevel="2">
      <c r="A325" s="3" t="s">
        <v>556</v>
      </c>
      <c r="B325" s="15" t="s">
        <v>1075</v>
      </c>
      <c r="C325" s="15" t="s">
        <v>1116</v>
      </c>
      <c r="D325" s="17" t="s">
        <v>1298</v>
      </c>
      <c r="E325" s="3" t="s">
        <v>557</v>
      </c>
      <c r="F325" s="6">
        <v>0</v>
      </c>
      <c r="G325" s="7"/>
      <c r="H325" s="6">
        <v>0</v>
      </c>
      <c r="I325" s="6">
        <v>0</v>
      </c>
      <c r="J325" s="6">
        <v>0</v>
      </c>
      <c r="K325" s="6">
        <f>IFERROR(ROUND(VLOOKUP(D325,#REF!,3,FALSE),0)/1000,0)</f>
        <v>0</v>
      </c>
      <c r="L325" s="7"/>
      <c r="M325" s="6">
        <v>1</v>
      </c>
      <c r="N325" s="8">
        <v>-1</v>
      </c>
      <c r="O325" s="9">
        <v>-1</v>
      </c>
    </row>
    <row r="326" spans="1:15" s="3" customFormat="1" ht="10.5" customHeight="1" outlineLevel="2">
      <c r="A326" s="3" t="s">
        <v>558</v>
      </c>
      <c r="B326" s="15" t="s">
        <v>1075</v>
      </c>
      <c r="C326" s="15" t="s">
        <v>1116</v>
      </c>
      <c r="D326" s="17" t="s">
        <v>1299</v>
      </c>
      <c r="E326" s="3" t="s">
        <v>559</v>
      </c>
      <c r="F326" s="6">
        <v>4</v>
      </c>
      <c r="G326" s="7"/>
      <c r="H326" s="6">
        <v>0</v>
      </c>
      <c r="I326" s="6">
        <v>4</v>
      </c>
      <c r="J326" s="6">
        <v>0</v>
      </c>
      <c r="K326" s="6">
        <f>IFERROR(ROUND(VLOOKUP(D326,#REF!,3,FALSE),0)/1000,0)</f>
        <v>0</v>
      </c>
      <c r="L326" s="7"/>
      <c r="M326" s="6">
        <v>1</v>
      </c>
      <c r="N326" s="8">
        <v>3</v>
      </c>
      <c r="O326" s="9">
        <v>3</v>
      </c>
    </row>
    <row r="327" spans="1:15" s="3" customFormat="1" ht="10.5" customHeight="1" outlineLevel="2">
      <c r="A327" s="3" t="s">
        <v>560</v>
      </c>
      <c r="B327" s="15" t="s">
        <v>1075</v>
      </c>
      <c r="C327" s="15" t="s">
        <v>1116</v>
      </c>
      <c r="D327" s="17" t="s">
        <v>1300</v>
      </c>
      <c r="E327" s="3" t="s">
        <v>561</v>
      </c>
      <c r="F327" s="6">
        <v>77</v>
      </c>
      <c r="G327" s="7"/>
      <c r="H327" s="6">
        <v>0</v>
      </c>
      <c r="I327" s="6">
        <v>77</v>
      </c>
      <c r="J327" s="6">
        <v>0</v>
      </c>
      <c r="K327" s="6">
        <f>IFERROR(ROUND(VLOOKUP(D327,#REF!,3,FALSE),0)/1000,0)</f>
        <v>0</v>
      </c>
      <c r="L327" s="7"/>
      <c r="M327" s="6">
        <v>328</v>
      </c>
      <c r="N327" s="8">
        <v>-0.7652439024390244</v>
      </c>
      <c r="O327" s="9">
        <v>-251</v>
      </c>
    </row>
    <row r="328" spans="1:15" s="3" customFormat="1" ht="10.5" customHeight="1" outlineLevel="2">
      <c r="A328" s="3" t="s">
        <v>562</v>
      </c>
      <c r="B328" s="15" t="s">
        <v>1075</v>
      </c>
      <c r="C328" s="15" t="s">
        <v>1116</v>
      </c>
      <c r="D328" s="17" t="s">
        <v>1301</v>
      </c>
      <c r="E328" s="3" t="s">
        <v>563</v>
      </c>
      <c r="F328" s="6">
        <v>27</v>
      </c>
      <c r="G328" s="7"/>
      <c r="H328" s="6">
        <v>0</v>
      </c>
      <c r="I328" s="6">
        <v>27</v>
      </c>
      <c r="J328" s="6">
        <v>0</v>
      </c>
      <c r="K328" s="6">
        <f>IFERROR(ROUND(VLOOKUP(D328,#REF!,3,FALSE),0)/1000,0)</f>
        <v>0</v>
      </c>
      <c r="L328" s="7"/>
      <c r="M328" s="6">
        <v>48</v>
      </c>
      <c r="N328" s="8">
        <v>-0.4375</v>
      </c>
      <c r="O328" s="9">
        <v>-21</v>
      </c>
    </row>
    <row r="329" spans="1:15" s="3" customFormat="1" ht="10.5" customHeight="1" outlineLevel="2">
      <c r="A329" s="3" t="s">
        <v>1574</v>
      </c>
      <c r="B329" s="15" t="s">
        <v>1075</v>
      </c>
      <c r="C329" s="15" t="s">
        <v>1116</v>
      </c>
      <c r="D329" s="17" t="s">
        <v>1576</v>
      </c>
      <c r="E329" s="17" t="s">
        <v>1575</v>
      </c>
      <c r="F329" s="6">
        <v>1</v>
      </c>
      <c r="G329" s="14"/>
      <c r="H329" s="6">
        <v>0</v>
      </c>
      <c r="I329" s="6">
        <v>1</v>
      </c>
      <c r="J329" s="6">
        <v>0</v>
      </c>
      <c r="K329" s="6">
        <f>IFERROR(ROUND(VLOOKUP(D329,#REF!,3,FALSE),0)/1000,0)</f>
        <v>0</v>
      </c>
      <c r="L329" s="14"/>
      <c r="M329" s="6">
        <v>0</v>
      </c>
      <c r="N329" s="8" t="s">
        <v>739</v>
      </c>
      <c r="O329" s="9">
        <v>1</v>
      </c>
    </row>
    <row r="330" spans="1:15" s="3" customFormat="1" ht="10.5" customHeight="1" outlineLevel="2">
      <c r="A330" s="3" t="s">
        <v>564</v>
      </c>
      <c r="B330" s="15" t="s">
        <v>1075</v>
      </c>
      <c r="C330" s="15" t="s">
        <v>1116</v>
      </c>
      <c r="D330" s="17" t="s">
        <v>1302</v>
      </c>
      <c r="E330" s="3" t="s">
        <v>565</v>
      </c>
      <c r="F330" s="6">
        <v>0</v>
      </c>
      <c r="G330" s="7"/>
      <c r="H330" s="6">
        <v>0</v>
      </c>
      <c r="I330" s="6">
        <v>0</v>
      </c>
      <c r="J330" s="6">
        <v>0</v>
      </c>
      <c r="K330" s="6">
        <f>IFERROR(ROUND(VLOOKUP(D330,#REF!,3,FALSE),0)/1000,0)</f>
        <v>0</v>
      </c>
      <c r="L330" s="7"/>
      <c r="M330" s="6">
        <v>1</v>
      </c>
      <c r="N330" s="8">
        <v>-1</v>
      </c>
      <c r="O330" s="9">
        <v>-1</v>
      </c>
    </row>
    <row r="331" spans="1:15" s="3" customFormat="1" ht="10.5" customHeight="1" outlineLevel="2">
      <c r="A331" s="3" t="s">
        <v>566</v>
      </c>
      <c r="B331" s="15" t="s">
        <v>1075</v>
      </c>
      <c r="C331" s="15" t="s">
        <v>1116</v>
      </c>
      <c r="D331" s="17" t="s">
        <v>1303</v>
      </c>
      <c r="E331" s="3" t="s">
        <v>567</v>
      </c>
      <c r="F331" s="6">
        <v>1</v>
      </c>
      <c r="G331" s="7"/>
      <c r="H331" s="6">
        <v>0</v>
      </c>
      <c r="I331" s="6">
        <v>1</v>
      </c>
      <c r="J331" s="6">
        <v>0</v>
      </c>
      <c r="K331" s="6">
        <f>IFERROR(ROUND(VLOOKUP(D331,#REF!,3,FALSE),0)/1000,0)</f>
        <v>0</v>
      </c>
      <c r="L331" s="7"/>
      <c r="M331" s="6">
        <v>22</v>
      </c>
      <c r="N331" s="8">
        <v>-0.95454545454545459</v>
      </c>
      <c r="O331" s="9">
        <v>-21</v>
      </c>
    </row>
    <row r="332" spans="1:15" s="3" customFormat="1" ht="10.5" customHeight="1" outlineLevel="2">
      <c r="A332" s="3" t="s">
        <v>568</v>
      </c>
      <c r="B332" s="15" t="s">
        <v>1075</v>
      </c>
      <c r="C332" s="15" t="s">
        <v>1116</v>
      </c>
      <c r="D332" s="17" t="s">
        <v>1304</v>
      </c>
      <c r="E332" s="3" t="s">
        <v>569</v>
      </c>
      <c r="F332" s="6">
        <v>0</v>
      </c>
      <c r="G332" s="7"/>
      <c r="H332" s="6">
        <v>0</v>
      </c>
      <c r="I332" s="6">
        <v>0</v>
      </c>
      <c r="J332" s="6">
        <v>0</v>
      </c>
      <c r="K332" s="6">
        <f>IFERROR(ROUND(VLOOKUP(D332,#REF!,3,FALSE),0)/1000,0)</f>
        <v>0</v>
      </c>
      <c r="L332" s="7"/>
      <c r="M332" s="6">
        <v>1</v>
      </c>
      <c r="N332" s="8">
        <v>-1</v>
      </c>
      <c r="O332" s="9">
        <v>-1</v>
      </c>
    </row>
    <row r="333" spans="1:15" s="3" customFormat="1" ht="10.5" customHeight="1" outlineLevel="2">
      <c r="A333" s="3" t="s">
        <v>570</v>
      </c>
      <c r="B333" s="15" t="s">
        <v>1075</v>
      </c>
      <c r="C333" s="15" t="s">
        <v>1116</v>
      </c>
      <c r="D333" s="17" t="s">
        <v>1305</v>
      </c>
      <c r="E333" s="3" t="s">
        <v>571</v>
      </c>
      <c r="F333" s="6">
        <v>0</v>
      </c>
      <c r="G333" s="7"/>
      <c r="H333" s="6">
        <v>0</v>
      </c>
      <c r="I333" s="6">
        <v>0</v>
      </c>
      <c r="J333" s="6">
        <v>0</v>
      </c>
      <c r="K333" s="6">
        <f>IFERROR(ROUND(VLOOKUP(D333,#REF!,3,FALSE),0)/1000,0)</f>
        <v>0</v>
      </c>
      <c r="L333" s="7"/>
      <c r="M333" s="6">
        <v>1</v>
      </c>
      <c r="N333" s="8">
        <v>-1</v>
      </c>
      <c r="O333" s="9">
        <v>-1</v>
      </c>
    </row>
    <row r="334" spans="1:15" s="3" customFormat="1" ht="10.5" customHeight="1" outlineLevel="2">
      <c r="A334" s="3" t="s">
        <v>572</v>
      </c>
      <c r="B334" s="15" t="s">
        <v>1075</v>
      </c>
      <c r="C334" s="15" t="s">
        <v>1116</v>
      </c>
      <c r="D334" s="17" t="s">
        <v>1306</v>
      </c>
      <c r="E334" s="3" t="s">
        <v>573</v>
      </c>
      <c r="F334" s="6">
        <v>27</v>
      </c>
      <c r="G334" s="7"/>
      <c r="H334" s="6">
        <v>0</v>
      </c>
      <c r="I334" s="6">
        <v>27</v>
      </c>
      <c r="J334" s="6">
        <v>0</v>
      </c>
      <c r="K334" s="6">
        <f>IFERROR(ROUND(VLOOKUP(D334,#REF!,3,FALSE),0)/1000,0)</f>
        <v>0</v>
      </c>
      <c r="L334" s="7"/>
      <c r="M334" s="6">
        <v>57</v>
      </c>
      <c r="N334" s="8">
        <v>-0.52631578947368418</v>
      </c>
      <c r="O334" s="9">
        <v>-30</v>
      </c>
    </row>
    <row r="335" spans="1:15" s="3" customFormat="1" ht="10.5" customHeight="1" outlineLevel="2">
      <c r="A335" s="3" t="s">
        <v>574</v>
      </c>
      <c r="B335" s="15" t="s">
        <v>1075</v>
      </c>
      <c r="C335" s="15" t="s">
        <v>1116</v>
      </c>
      <c r="D335" s="17" t="s">
        <v>1307</v>
      </c>
      <c r="E335" s="3" t="s">
        <v>575</v>
      </c>
      <c r="F335" s="6">
        <v>1</v>
      </c>
      <c r="G335" s="7"/>
      <c r="H335" s="6">
        <v>0</v>
      </c>
      <c r="I335" s="6">
        <v>1</v>
      </c>
      <c r="J335" s="6">
        <v>0</v>
      </c>
      <c r="K335" s="6">
        <f>IFERROR(ROUND(VLOOKUP(D335,#REF!,3,FALSE),0)/1000,0)</f>
        <v>0</v>
      </c>
      <c r="L335" s="7"/>
      <c r="M335" s="6">
        <v>2</v>
      </c>
      <c r="N335" s="8">
        <v>-0.5</v>
      </c>
      <c r="O335" s="9">
        <v>-1</v>
      </c>
    </row>
    <row r="336" spans="1:15" s="3" customFormat="1" ht="10.5" customHeight="1" outlineLevel="2">
      <c r="A336" s="3" t="s">
        <v>576</v>
      </c>
      <c r="B336" s="15" t="s">
        <v>1075</v>
      </c>
      <c r="C336" s="15" t="s">
        <v>1116</v>
      </c>
      <c r="D336" s="17" t="s">
        <v>1308</v>
      </c>
      <c r="E336" s="3" t="s">
        <v>577</v>
      </c>
      <c r="F336" s="6">
        <v>0</v>
      </c>
      <c r="G336" s="7"/>
      <c r="H336" s="6">
        <v>0</v>
      </c>
      <c r="I336" s="6">
        <v>0</v>
      </c>
      <c r="J336" s="6">
        <v>0</v>
      </c>
      <c r="K336" s="6">
        <f>IFERROR(ROUND(VLOOKUP(D336,#REF!,3,FALSE),0)/1000,0)</f>
        <v>0</v>
      </c>
      <c r="L336" s="7"/>
      <c r="M336" s="6">
        <v>0</v>
      </c>
      <c r="N336" s="8" t="s">
        <v>739</v>
      </c>
      <c r="O336" s="9">
        <v>0</v>
      </c>
    </row>
    <row r="337" spans="1:15" s="3" customFormat="1" ht="10.5" customHeight="1" outlineLevel="2">
      <c r="A337" s="3" t="s">
        <v>578</v>
      </c>
      <c r="B337" s="15" t="s">
        <v>1075</v>
      </c>
      <c r="C337" s="15" t="s">
        <v>1116</v>
      </c>
      <c r="D337" s="17" t="s">
        <v>1309</v>
      </c>
      <c r="E337" s="3" t="s">
        <v>579</v>
      </c>
      <c r="F337" s="6">
        <v>0</v>
      </c>
      <c r="G337" s="7"/>
      <c r="H337" s="6">
        <v>0</v>
      </c>
      <c r="I337" s="6">
        <v>0</v>
      </c>
      <c r="J337" s="6">
        <v>0</v>
      </c>
      <c r="K337" s="6">
        <f>IFERROR(ROUND(VLOOKUP(D337,#REF!,3,FALSE),0)/1000,0)</f>
        <v>0</v>
      </c>
      <c r="L337" s="7"/>
      <c r="M337" s="6">
        <v>1</v>
      </c>
      <c r="N337" s="8">
        <v>-1</v>
      </c>
      <c r="O337" s="9">
        <v>-1</v>
      </c>
    </row>
    <row r="338" spans="1:15" s="3" customFormat="1" ht="10.5" customHeight="1" outlineLevel="2">
      <c r="A338" s="3" t="s">
        <v>580</v>
      </c>
      <c r="B338" s="15" t="s">
        <v>1075</v>
      </c>
      <c r="C338" s="15" t="s">
        <v>1116</v>
      </c>
      <c r="D338" s="17" t="s">
        <v>1310</v>
      </c>
      <c r="E338" s="3" t="s">
        <v>581</v>
      </c>
      <c r="F338" s="6">
        <v>0</v>
      </c>
      <c r="G338" s="7"/>
      <c r="H338" s="6">
        <v>0</v>
      </c>
      <c r="I338" s="6">
        <v>0</v>
      </c>
      <c r="J338" s="6">
        <v>0</v>
      </c>
      <c r="K338" s="6">
        <f>IFERROR(ROUND(VLOOKUP(D338,#REF!,3,FALSE),0)/1000,0)</f>
        <v>0</v>
      </c>
      <c r="L338" s="7"/>
      <c r="M338" s="6">
        <v>1</v>
      </c>
      <c r="N338" s="8">
        <v>-1</v>
      </c>
      <c r="O338" s="9">
        <v>-1</v>
      </c>
    </row>
    <row r="339" spans="1:15" s="3" customFormat="1" ht="10.5" customHeight="1" outlineLevel="2">
      <c r="A339" s="3" t="s">
        <v>582</v>
      </c>
      <c r="B339" s="15" t="s">
        <v>1075</v>
      </c>
      <c r="C339" s="15" t="s">
        <v>1116</v>
      </c>
      <c r="D339" s="17" t="s">
        <v>1311</v>
      </c>
      <c r="E339" s="3" t="s">
        <v>583</v>
      </c>
      <c r="F339" s="6">
        <v>2</v>
      </c>
      <c r="G339" s="7"/>
      <c r="H339" s="6">
        <v>0</v>
      </c>
      <c r="I339" s="6">
        <v>2</v>
      </c>
      <c r="J339" s="6">
        <v>0</v>
      </c>
      <c r="K339" s="6">
        <f>IFERROR(ROUND(VLOOKUP(D339,#REF!,3,FALSE),0)/1000,0)</f>
        <v>0</v>
      </c>
      <c r="L339" s="7"/>
      <c r="M339" s="6">
        <v>1</v>
      </c>
      <c r="N339" s="8">
        <v>1</v>
      </c>
      <c r="O339" s="9">
        <v>1</v>
      </c>
    </row>
    <row r="340" spans="1:15" s="3" customFormat="1" ht="11.25" customHeight="1" outlineLevel="2" thickBot="1">
      <c r="A340" s="3" t="s">
        <v>584</v>
      </c>
      <c r="B340" s="15" t="s">
        <v>1075</v>
      </c>
      <c r="C340" s="15" t="s">
        <v>1116</v>
      </c>
      <c r="D340" s="17" t="s">
        <v>1312</v>
      </c>
      <c r="E340" s="3" t="s">
        <v>585</v>
      </c>
      <c r="F340" s="20">
        <v>0</v>
      </c>
      <c r="G340" s="14"/>
      <c r="H340" s="20">
        <v>0</v>
      </c>
      <c r="I340" s="20">
        <v>0</v>
      </c>
      <c r="J340" s="20">
        <v>0</v>
      </c>
      <c r="K340" s="6">
        <f>IFERROR(ROUND(VLOOKUP(D340,#REF!,3,FALSE),0)/1000,0)</f>
        <v>0</v>
      </c>
      <c r="L340" s="14"/>
      <c r="M340" s="20">
        <v>2</v>
      </c>
      <c r="N340" s="8">
        <v>-1</v>
      </c>
      <c r="O340" s="9">
        <v>-2</v>
      </c>
    </row>
    <row r="341" spans="1:15" s="3" customFormat="1" ht="11.25" customHeight="1" outlineLevel="2" thickTop="1">
      <c r="A341" s="3" t="s">
        <v>1577</v>
      </c>
      <c r="B341" s="15" t="s">
        <v>1075</v>
      </c>
      <c r="C341" s="15" t="s">
        <v>1116</v>
      </c>
      <c r="D341" s="17" t="s">
        <v>1579</v>
      </c>
      <c r="E341" s="17" t="s">
        <v>1578</v>
      </c>
      <c r="F341" s="479">
        <v>1</v>
      </c>
      <c r="G341" s="14"/>
      <c r="H341" s="479">
        <v>0</v>
      </c>
      <c r="I341" s="479">
        <v>1</v>
      </c>
      <c r="J341" s="479">
        <v>0</v>
      </c>
      <c r="K341" s="6">
        <f>IFERROR(ROUND(VLOOKUP(D341,#REF!,3,FALSE),0)/1000,0)</f>
        <v>0</v>
      </c>
      <c r="L341" s="14"/>
      <c r="M341" s="479">
        <v>0</v>
      </c>
      <c r="N341" s="8" t="s">
        <v>739</v>
      </c>
      <c r="O341" s="9">
        <v>1</v>
      </c>
    </row>
    <row r="342" spans="1:15" s="3" customFormat="1" ht="10.5" customHeight="1" outlineLevel="2">
      <c r="A342" s="3" t="s">
        <v>1580</v>
      </c>
      <c r="B342" s="15" t="s">
        <v>1075</v>
      </c>
      <c r="C342" s="15" t="s">
        <v>1116</v>
      </c>
      <c r="D342" s="17" t="s">
        <v>1582</v>
      </c>
      <c r="E342" s="17" t="s">
        <v>1581</v>
      </c>
      <c r="F342" s="27">
        <v>30</v>
      </c>
      <c r="G342" s="14"/>
      <c r="H342" s="27">
        <v>0</v>
      </c>
      <c r="I342" s="27">
        <v>30</v>
      </c>
      <c r="J342" s="27">
        <v>0</v>
      </c>
      <c r="K342" s="6">
        <f>IFERROR(ROUND(VLOOKUP(D342,#REF!,3,FALSE),0)/1000,0)</f>
        <v>0</v>
      </c>
      <c r="L342" s="14"/>
      <c r="M342" s="27">
        <v>0</v>
      </c>
      <c r="N342" s="8" t="s">
        <v>739</v>
      </c>
      <c r="O342" s="9">
        <v>30</v>
      </c>
    </row>
    <row r="343" spans="1:15" s="3" customFormat="1" ht="11.25" outlineLevel="1" thickBot="1">
      <c r="A343" s="3" t="s">
        <v>586</v>
      </c>
      <c r="B343" s="15" t="s">
        <v>1075</v>
      </c>
      <c r="C343" s="15" t="s">
        <v>1116</v>
      </c>
      <c r="D343" s="17" t="s">
        <v>1075</v>
      </c>
      <c r="E343" s="19" t="s">
        <v>587</v>
      </c>
      <c r="F343" s="31">
        <v>218</v>
      </c>
      <c r="G343" s="7"/>
      <c r="H343" s="31">
        <v>0</v>
      </c>
      <c r="I343" s="31">
        <v>218</v>
      </c>
      <c r="J343" s="31">
        <v>0</v>
      </c>
      <c r="K343" s="31">
        <f>SUM(K323:K342)</f>
        <v>0</v>
      </c>
      <c r="L343" s="7"/>
      <c r="M343" s="31">
        <v>522</v>
      </c>
      <c r="N343" s="8">
        <v>-0.58237547892720309</v>
      </c>
      <c r="O343" s="9">
        <v>-304</v>
      </c>
    </row>
    <row r="344" spans="1:15" s="3" customFormat="1" ht="12" outlineLevel="1" thickTop="1" thickBot="1">
      <c r="A344" s="3" t="s">
        <v>588</v>
      </c>
      <c r="B344" s="15" t="s">
        <v>1075</v>
      </c>
      <c r="C344" s="15" t="s">
        <v>1075</v>
      </c>
      <c r="D344" s="17" t="s">
        <v>1075</v>
      </c>
      <c r="F344" s="6"/>
      <c r="G344" s="7"/>
      <c r="H344" s="6"/>
      <c r="I344" s="6"/>
      <c r="J344" s="6"/>
      <c r="K344" s="6"/>
      <c r="L344" s="7"/>
      <c r="M344" s="6"/>
      <c r="N344" s="8" t="s">
        <v>739</v>
      </c>
      <c r="O344" s="9" t="s">
        <v>739</v>
      </c>
    </row>
    <row r="345" spans="1:15" s="3" customFormat="1" ht="12" outlineLevel="1" thickTop="1" thickBot="1">
      <c r="A345" s="3" t="s">
        <v>589</v>
      </c>
      <c r="B345" s="15" t="s">
        <v>1075</v>
      </c>
      <c r="C345" s="15" t="s">
        <v>1117</v>
      </c>
      <c r="D345" s="17" t="s">
        <v>1075</v>
      </c>
      <c r="E345" s="19" t="s">
        <v>590</v>
      </c>
      <c r="F345" s="10">
        <v>0</v>
      </c>
      <c r="G345" s="7"/>
      <c r="H345" s="10">
        <v>0</v>
      </c>
      <c r="I345" s="10">
        <v>0</v>
      </c>
      <c r="J345" s="10">
        <v>0</v>
      </c>
      <c r="K345" s="10">
        <v>0</v>
      </c>
      <c r="L345" s="7"/>
      <c r="M345" s="10">
        <v>0</v>
      </c>
      <c r="N345" s="8" t="s">
        <v>739</v>
      </c>
      <c r="O345" s="9">
        <v>0</v>
      </c>
    </row>
    <row r="346" spans="1:15" s="3" customFormat="1" ht="11.25" outlineLevel="1" thickTop="1">
      <c r="A346" s="3" t="s">
        <v>591</v>
      </c>
      <c r="B346" s="15" t="s">
        <v>1075</v>
      </c>
      <c r="C346" s="15" t="s">
        <v>1075</v>
      </c>
      <c r="D346" s="17" t="s">
        <v>1075</v>
      </c>
      <c r="F346" s="6"/>
      <c r="G346" s="7"/>
      <c r="H346" s="6"/>
      <c r="I346" s="6"/>
      <c r="J346" s="6"/>
      <c r="K346" s="6"/>
      <c r="L346" s="7"/>
      <c r="M346" s="6"/>
      <c r="N346" s="8" t="s">
        <v>739</v>
      </c>
      <c r="O346" s="9" t="s">
        <v>739</v>
      </c>
    </row>
    <row r="347" spans="1:15" s="3" customFormat="1" ht="10.5" customHeight="1" outlineLevel="2">
      <c r="A347" s="3" t="s">
        <v>592</v>
      </c>
      <c r="B347" s="15" t="s">
        <v>1075</v>
      </c>
      <c r="C347" s="15" t="s">
        <v>1118</v>
      </c>
      <c r="D347" s="17" t="s">
        <v>1313</v>
      </c>
      <c r="E347" s="3" t="s">
        <v>593</v>
      </c>
      <c r="F347" s="6">
        <v>0</v>
      </c>
      <c r="G347" s="7"/>
      <c r="H347" s="6">
        <v>0</v>
      </c>
      <c r="I347" s="6">
        <v>0</v>
      </c>
      <c r="J347" s="6">
        <v>0</v>
      </c>
      <c r="K347" s="6">
        <f>IFERROR(ROUND(VLOOKUP(D347,#REF!,3,FALSE),0)/1000,0)</f>
        <v>0</v>
      </c>
      <c r="L347" s="7"/>
      <c r="M347" s="6">
        <v>0</v>
      </c>
      <c r="N347" s="8" t="s">
        <v>739</v>
      </c>
      <c r="O347" s="9">
        <v>0</v>
      </c>
    </row>
    <row r="348" spans="1:15" s="3" customFormat="1" ht="10.5" customHeight="1" outlineLevel="2">
      <c r="A348" s="3" t="s">
        <v>594</v>
      </c>
      <c r="B348" s="15" t="s">
        <v>1075</v>
      </c>
      <c r="C348" s="15" t="s">
        <v>1118</v>
      </c>
      <c r="D348" s="17" t="s">
        <v>1314</v>
      </c>
      <c r="E348" s="3" t="s">
        <v>595</v>
      </c>
      <c r="F348" s="6">
        <v>301</v>
      </c>
      <c r="G348" s="7"/>
      <c r="H348" s="6">
        <v>0</v>
      </c>
      <c r="I348" s="6">
        <v>301</v>
      </c>
      <c r="J348" s="6">
        <v>0</v>
      </c>
      <c r="K348" s="6">
        <f>IFERROR(ROUND(VLOOKUP(D348,#REF!,3,FALSE),0)/1000,0)</f>
        <v>0</v>
      </c>
      <c r="L348" s="7"/>
      <c r="M348" s="6">
        <v>288</v>
      </c>
      <c r="N348" s="8">
        <v>4.5138888888888888E-2</v>
      </c>
      <c r="O348" s="9">
        <v>13</v>
      </c>
    </row>
    <row r="349" spans="1:15" s="3" customFormat="1" ht="10.5" customHeight="1" outlineLevel="2">
      <c r="A349" s="3" t="s">
        <v>596</v>
      </c>
      <c r="B349" s="15" t="s">
        <v>1075</v>
      </c>
      <c r="C349" s="15" t="s">
        <v>1118</v>
      </c>
      <c r="D349" s="17" t="s">
        <v>1315</v>
      </c>
      <c r="E349" s="3" t="s">
        <v>597</v>
      </c>
      <c r="F349" s="6">
        <v>0</v>
      </c>
      <c r="G349" s="7"/>
      <c r="H349" s="6">
        <v>0</v>
      </c>
      <c r="I349" s="6">
        <v>0</v>
      </c>
      <c r="J349" s="6">
        <v>0</v>
      </c>
      <c r="K349" s="6">
        <f>IFERROR(ROUND(VLOOKUP(D349,#REF!,3,FALSE),0)/1000,0)</f>
        <v>0</v>
      </c>
      <c r="L349" s="7"/>
      <c r="M349" s="6">
        <v>0</v>
      </c>
      <c r="N349" s="8" t="s">
        <v>739</v>
      </c>
      <c r="O349" s="9">
        <v>0</v>
      </c>
    </row>
    <row r="350" spans="1:15" s="3" customFormat="1" ht="10.5" customHeight="1" outlineLevel="2">
      <c r="A350" s="3" t="s">
        <v>598</v>
      </c>
      <c r="B350" s="15" t="s">
        <v>1075</v>
      </c>
      <c r="C350" s="15" t="s">
        <v>1118</v>
      </c>
      <c r="D350" s="17" t="s">
        <v>1316</v>
      </c>
      <c r="E350" s="3" t="s">
        <v>599</v>
      </c>
      <c r="F350" s="6">
        <v>28</v>
      </c>
      <c r="G350" s="7"/>
      <c r="H350" s="6">
        <v>0</v>
      </c>
      <c r="I350" s="6">
        <v>28</v>
      </c>
      <c r="J350" s="6">
        <v>0</v>
      </c>
      <c r="K350" s="6">
        <f>IFERROR(ROUND(VLOOKUP(D350,#REF!,3,FALSE),0)/1000,0)</f>
        <v>0</v>
      </c>
      <c r="L350" s="7"/>
      <c r="M350" s="6">
        <v>55</v>
      </c>
      <c r="N350" s="8">
        <v>-0.49090909090909091</v>
      </c>
      <c r="O350" s="9">
        <v>-27</v>
      </c>
    </row>
    <row r="351" spans="1:15" s="3" customFormat="1" ht="10.5" customHeight="1" outlineLevel="2">
      <c r="A351" s="3" t="s">
        <v>600</v>
      </c>
      <c r="B351" s="15" t="s">
        <v>1075</v>
      </c>
      <c r="C351" s="15" t="s">
        <v>1118</v>
      </c>
      <c r="D351" s="17" t="s">
        <v>1317</v>
      </c>
      <c r="E351" s="3" t="s">
        <v>601</v>
      </c>
      <c r="F351" s="6">
        <v>177</v>
      </c>
      <c r="G351" s="7"/>
      <c r="H351" s="6">
        <v>0</v>
      </c>
      <c r="I351" s="6">
        <v>177</v>
      </c>
      <c r="J351" s="6">
        <v>0</v>
      </c>
      <c r="K351" s="6">
        <f>IFERROR(ROUND(VLOOKUP(D351,#REF!,3,FALSE),0)/1000,0)</f>
        <v>0</v>
      </c>
      <c r="L351" s="7"/>
      <c r="M351" s="6">
        <v>256</v>
      </c>
      <c r="N351" s="8">
        <v>-0.30859375</v>
      </c>
      <c r="O351" s="9">
        <v>-79</v>
      </c>
    </row>
    <row r="352" spans="1:15" s="3" customFormat="1" ht="11.25" customHeight="1" outlineLevel="2" thickBot="1">
      <c r="A352" s="3" t="s">
        <v>602</v>
      </c>
      <c r="B352" s="15" t="s">
        <v>1075</v>
      </c>
      <c r="C352" s="15" t="s">
        <v>1118</v>
      </c>
      <c r="D352" s="17" t="s">
        <v>1318</v>
      </c>
      <c r="E352" s="3" t="s">
        <v>603</v>
      </c>
      <c r="F352" s="20">
        <v>0</v>
      </c>
      <c r="G352" s="14"/>
      <c r="H352" s="20">
        <v>0</v>
      </c>
      <c r="I352" s="20">
        <v>0</v>
      </c>
      <c r="J352" s="20">
        <v>0</v>
      </c>
      <c r="K352" s="6">
        <f>IFERROR(ROUND(VLOOKUP(D352,#REF!,3,FALSE),0)/1000,0)</f>
        <v>0</v>
      </c>
      <c r="L352" s="14"/>
      <c r="M352" s="20">
        <v>0</v>
      </c>
      <c r="N352" s="8" t="s">
        <v>739</v>
      </c>
      <c r="O352" s="9">
        <v>0</v>
      </c>
    </row>
    <row r="353" spans="1:15" s="3" customFormat="1" ht="12" outlineLevel="1" thickTop="1" thickBot="1">
      <c r="A353" s="3" t="s">
        <v>604</v>
      </c>
      <c r="B353" s="15" t="s">
        <v>1075</v>
      </c>
      <c r="C353" s="15" t="s">
        <v>1118</v>
      </c>
      <c r="D353" s="17" t="s">
        <v>1075</v>
      </c>
      <c r="E353" s="19" t="s">
        <v>605</v>
      </c>
      <c r="F353" s="30">
        <v>506</v>
      </c>
      <c r="G353" s="7"/>
      <c r="H353" s="30">
        <v>0</v>
      </c>
      <c r="I353" s="30">
        <v>506</v>
      </c>
      <c r="J353" s="30">
        <v>0</v>
      </c>
      <c r="K353" s="30">
        <f>SUM(K347:K352)</f>
        <v>0</v>
      </c>
      <c r="L353" s="7"/>
      <c r="M353" s="30">
        <v>599</v>
      </c>
      <c r="N353" s="8">
        <v>-0.15525876460767946</v>
      </c>
      <c r="O353" s="9">
        <v>-93</v>
      </c>
    </row>
    <row r="354" spans="1:15" s="3" customFormat="1" ht="11.25" outlineLevel="1" thickTop="1">
      <c r="A354" s="3" t="s">
        <v>606</v>
      </c>
      <c r="B354" s="15" t="s">
        <v>1075</v>
      </c>
      <c r="C354" s="15" t="s">
        <v>1075</v>
      </c>
      <c r="D354" s="17" t="s">
        <v>1075</v>
      </c>
      <c r="F354" s="6"/>
      <c r="G354" s="7"/>
      <c r="H354" s="6"/>
      <c r="I354" s="6"/>
      <c r="J354" s="6"/>
      <c r="K354" s="6"/>
      <c r="L354" s="7"/>
      <c r="M354" s="6"/>
      <c r="N354" s="8" t="s">
        <v>739</v>
      </c>
      <c r="O354" s="9" t="s">
        <v>739</v>
      </c>
    </row>
    <row r="355" spans="1:15" s="3" customFormat="1" ht="11.25" customHeight="1" outlineLevel="2" thickBot="1">
      <c r="A355" s="3" t="s">
        <v>607</v>
      </c>
      <c r="B355" s="15" t="s">
        <v>1075</v>
      </c>
      <c r="C355" s="15" t="s">
        <v>1119</v>
      </c>
      <c r="D355" s="17" t="s">
        <v>1319</v>
      </c>
      <c r="E355" s="3" t="s">
        <v>608</v>
      </c>
      <c r="F355" s="20">
        <v>1444</v>
      </c>
      <c r="G355" s="14"/>
      <c r="H355" s="20">
        <v>0</v>
      </c>
      <c r="I355" s="20">
        <v>1444</v>
      </c>
      <c r="J355" s="20">
        <v>0</v>
      </c>
      <c r="K355" s="6">
        <f>IFERROR(ROUND(VLOOKUP(D355,#REF!,3,FALSE),0)/1000,0)</f>
        <v>0</v>
      </c>
      <c r="L355" s="14"/>
      <c r="M355" s="20">
        <v>1929</v>
      </c>
      <c r="N355" s="8">
        <v>-0.25142560912389839</v>
      </c>
      <c r="O355" s="9">
        <v>-485</v>
      </c>
    </row>
    <row r="356" spans="1:15" s="3" customFormat="1" ht="12" outlineLevel="1" thickTop="1" thickBot="1">
      <c r="A356" s="3" t="s">
        <v>609</v>
      </c>
      <c r="B356" s="15" t="s">
        <v>1075</v>
      </c>
      <c r="C356" s="15" t="s">
        <v>1119</v>
      </c>
      <c r="D356" s="17" t="s">
        <v>1075</v>
      </c>
      <c r="E356" s="19" t="s">
        <v>610</v>
      </c>
      <c r="F356" s="30">
        <v>1444</v>
      </c>
      <c r="G356" s="7"/>
      <c r="H356" s="30">
        <v>0</v>
      </c>
      <c r="I356" s="30">
        <v>1444</v>
      </c>
      <c r="J356" s="30">
        <v>0</v>
      </c>
      <c r="K356" s="30">
        <f>SUM(K355)</f>
        <v>0</v>
      </c>
      <c r="L356" s="7"/>
      <c r="M356" s="30">
        <v>1929</v>
      </c>
      <c r="N356" s="8">
        <v>-0.25142560912389839</v>
      </c>
      <c r="O356" s="9">
        <v>-485</v>
      </c>
    </row>
    <row r="357" spans="1:15" s="3" customFormat="1" ht="12" outlineLevel="1" thickTop="1" thickBot="1">
      <c r="A357" s="3" t="s">
        <v>611</v>
      </c>
      <c r="B357" s="15" t="s">
        <v>1075</v>
      </c>
      <c r="C357" s="15" t="s">
        <v>1075</v>
      </c>
      <c r="D357" s="17" t="s">
        <v>1075</v>
      </c>
      <c r="F357" s="6"/>
      <c r="G357" s="7"/>
      <c r="H357" s="6"/>
      <c r="I357" s="6"/>
      <c r="J357" s="6"/>
      <c r="K357" s="6"/>
      <c r="L357" s="7"/>
      <c r="M357" s="6"/>
      <c r="N357" s="8" t="s">
        <v>739</v>
      </c>
      <c r="O357" s="9" t="s">
        <v>739</v>
      </c>
    </row>
    <row r="358" spans="1:15" s="3" customFormat="1" ht="12" outlineLevel="1" thickTop="1" thickBot="1">
      <c r="A358" s="3" t="s">
        <v>612</v>
      </c>
      <c r="B358" s="15" t="s">
        <v>1075</v>
      </c>
      <c r="C358" s="15" t="s">
        <v>1120</v>
      </c>
      <c r="D358" s="17" t="s">
        <v>1075</v>
      </c>
      <c r="E358" s="19" t="s">
        <v>613</v>
      </c>
      <c r="F358" s="10">
        <v>0</v>
      </c>
      <c r="G358" s="7"/>
      <c r="H358" s="10">
        <v>0</v>
      </c>
      <c r="I358" s="10">
        <v>0</v>
      </c>
      <c r="J358" s="10">
        <v>0</v>
      </c>
      <c r="K358" s="10">
        <v>0</v>
      </c>
      <c r="L358" s="7"/>
      <c r="M358" s="10">
        <v>0</v>
      </c>
      <c r="N358" s="8" t="s">
        <v>739</v>
      </c>
      <c r="O358" s="9">
        <v>0</v>
      </c>
    </row>
    <row r="359" spans="1:15" s="3" customFormat="1" ht="11.25" outlineLevel="1" thickTop="1">
      <c r="A359" s="3" t="s">
        <v>614</v>
      </c>
      <c r="B359" s="15" t="s">
        <v>1075</v>
      </c>
      <c r="C359" s="15" t="s">
        <v>1075</v>
      </c>
      <c r="D359" s="17" t="s">
        <v>1075</v>
      </c>
      <c r="F359" s="6"/>
      <c r="G359" s="7"/>
      <c r="H359" s="6"/>
      <c r="I359" s="6"/>
      <c r="J359" s="6"/>
      <c r="K359" s="6"/>
      <c r="L359" s="7"/>
      <c r="M359" s="6"/>
      <c r="N359" s="8" t="s">
        <v>739</v>
      </c>
      <c r="O359" s="9" t="s">
        <v>739</v>
      </c>
    </row>
    <row r="360" spans="1:15" s="3" customFormat="1" ht="10.5" customHeight="1" outlineLevel="2">
      <c r="A360" s="3" t="s">
        <v>615</v>
      </c>
      <c r="B360" s="15" t="s">
        <v>1075</v>
      </c>
      <c r="C360" s="15" t="s">
        <v>616</v>
      </c>
      <c r="D360" s="17" t="s">
        <v>1320</v>
      </c>
      <c r="E360" s="3" t="s">
        <v>617</v>
      </c>
      <c r="F360" s="6">
        <v>43</v>
      </c>
      <c r="G360" s="7"/>
      <c r="H360" s="6">
        <v>0</v>
      </c>
      <c r="I360" s="6">
        <v>43</v>
      </c>
      <c r="J360" s="6">
        <v>0</v>
      </c>
      <c r="K360" s="6">
        <f>IFERROR(ROUND(VLOOKUP(D360,#REF!,3,FALSE),0)/1000,0)</f>
        <v>0</v>
      </c>
      <c r="L360" s="7"/>
      <c r="M360" s="6">
        <v>147</v>
      </c>
      <c r="N360" s="8">
        <v>-0.70748299319727892</v>
      </c>
      <c r="O360" s="9">
        <v>-104</v>
      </c>
    </row>
    <row r="361" spans="1:15" s="3" customFormat="1" ht="10.5" customHeight="1" outlineLevel="2">
      <c r="A361" s="3" t="s">
        <v>618</v>
      </c>
      <c r="B361" s="15" t="s">
        <v>1075</v>
      </c>
      <c r="C361" s="15" t="s">
        <v>616</v>
      </c>
      <c r="D361" s="17" t="s">
        <v>1321</v>
      </c>
      <c r="E361" s="3" t="s">
        <v>619</v>
      </c>
      <c r="F361" s="6">
        <v>0</v>
      </c>
      <c r="G361" s="7"/>
      <c r="H361" s="6">
        <v>0</v>
      </c>
      <c r="I361" s="6">
        <v>0</v>
      </c>
      <c r="J361" s="6">
        <v>0</v>
      </c>
      <c r="K361" s="6">
        <f>IFERROR(ROUND(VLOOKUP(D361,#REF!,3,FALSE),0)/1000,0)</f>
        <v>0</v>
      </c>
      <c r="L361" s="7"/>
      <c r="M361" s="6">
        <v>0</v>
      </c>
      <c r="N361" s="8" t="s">
        <v>739</v>
      </c>
      <c r="O361" s="9">
        <v>0</v>
      </c>
    </row>
    <row r="362" spans="1:15" s="3" customFormat="1" ht="11.25" customHeight="1" outlineLevel="2" thickBot="1">
      <c r="A362" s="3" t="s">
        <v>620</v>
      </c>
      <c r="B362" s="15" t="s">
        <v>1075</v>
      </c>
      <c r="C362" s="15" t="s">
        <v>616</v>
      </c>
      <c r="D362" s="17" t="s">
        <v>621</v>
      </c>
      <c r="E362" s="3" t="s">
        <v>622</v>
      </c>
      <c r="F362" s="20">
        <v>-2</v>
      </c>
      <c r="G362" s="14"/>
      <c r="H362" s="20">
        <v>0</v>
      </c>
      <c r="I362" s="20">
        <v>-2</v>
      </c>
      <c r="J362" s="20">
        <v>0</v>
      </c>
      <c r="K362" s="6">
        <f>IFERROR(ROUND(VLOOKUP(D362,#REF!,3,FALSE),0)/1000,0)</f>
        <v>0</v>
      </c>
      <c r="L362" s="14"/>
      <c r="M362" s="20">
        <v>0</v>
      </c>
      <c r="N362" s="8" t="s">
        <v>739</v>
      </c>
      <c r="O362" s="9">
        <v>-2</v>
      </c>
    </row>
    <row r="363" spans="1:15" s="3" customFormat="1" ht="12" outlineLevel="1" thickTop="1" thickBot="1">
      <c r="A363" s="3" t="s">
        <v>623</v>
      </c>
      <c r="B363" s="15" t="s">
        <v>1075</v>
      </c>
      <c r="C363" s="15" t="s">
        <v>616</v>
      </c>
      <c r="D363" s="17" t="s">
        <v>1075</v>
      </c>
      <c r="E363" s="19" t="s">
        <v>624</v>
      </c>
      <c r="F363" s="30">
        <v>41</v>
      </c>
      <c r="G363" s="7"/>
      <c r="H363" s="30">
        <v>0</v>
      </c>
      <c r="I363" s="30">
        <v>41</v>
      </c>
      <c r="J363" s="30">
        <v>0</v>
      </c>
      <c r="K363" s="30">
        <f>SUM(K360:K362)</f>
        <v>0</v>
      </c>
      <c r="L363" s="7"/>
      <c r="M363" s="30">
        <v>147</v>
      </c>
      <c r="N363" s="8">
        <v>-0.72108843537414968</v>
      </c>
      <c r="O363" s="9">
        <v>-106</v>
      </c>
    </row>
    <row r="364" spans="1:15" s="3" customFormat="1" ht="11.25" outlineLevel="1" thickTop="1">
      <c r="A364" s="3" t="s">
        <v>625</v>
      </c>
      <c r="B364" s="15" t="s">
        <v>1075</v>
      </c>
      <c r="C364" s="15" t="s">
        <v>1075</v>
      </c>
      <c r="D364" s="17" t="s">
        <v>1075</v>
      </c>
      <c r="F364" s="6"/>
      <c r="G364" s="7"/>
      <c r="H364" s="6"/>
      <c r="I364" s="6"/>
      <c r="J364" s="6"/>
      <c r="K364" s="6"/>
      <c r="L364" s="7"/>
      <c r="M364" s="6"/>
      <c r="N364" s="8" t="s">
        <v>739</v>
      </c>
      <c r="O364" s="9" t="s">
        <v>739</v>
      </c>
    </row>
    <row r="365" spans="1:15" s="3" customFormat="1" ht="10.5" customHeight="1" outlineLevel="2">
      <c r="A365" s="3" t="s">
        <v>626</v>
      </c>
      <c r="B365" s="15" t="s">
        <v>1075</v>
      </c>
      <c r="C365" s="15" t="s">
        <v>627</v>
      </c>
      <c r="D365" s="17" t="s">
        <v>1322</v>
      </c>
      <c r="E365" s="3" t="s">
        <v>628</v>
      </c>
      <c r="F365" s="6">
        <v>589</v>
      </c>
      <c r="G365" s="7"/>
      <c r="H365" s="6">
        <v>0</v>
      </c>
      <c r="I365" s="6">
        <v>589</v>
      </c>
      <c r="J365" s="6">
        <v>0</v>
      </c>
      <c r="K365" s="6">
        <f>IFERROR(ROUND(VLOOKUP(D365,#REF!,3,FALSE),0)/1000,0)</f>
        <v>0</v>
      </c>
      <c r="L365" s="7"/>
      <c r="M365" s="6">
        <v>552</v>
      </c>
      <c r="N365" s="8">
        <v>6.7028985507246383E-2</v>
      </c>
      <c r="O365" s="9">
        <v>37</v>
      </c>
    </row>
    <row r="366" spans="1:15" s="3" customFormat="1" ht="11.25" customHeight="1" outlineLevel="2" thickBot="1">
      <c r="A366" s="3" t="s">
        <v>629</v>
      </c>
      <c r="B366" s="15" t="s">
        <v>1075</v>
      </c>
      <c r="C366" s="15" t="s">
        <v>627</v>
      </c>
      <c r="D366" s="17" t="s">
        <v>1323</v>
      </c>
      <c r="E366" s="3" t="s">
        <v>630</v>
      </c>
      <c r="F366" s="20">
        <v>0</v>
      </c>
      <c r="G366" s="14"/>
      <c r="H366" s="20">
        <v>0</v>
      </c>
      <c r="I366" s="20">
        <v>0</v>
      </c>
      <c r="J366" s="20">
        <v>0</v>
      </c>
      <c r="K366" s="6">
        <f>IFERROR(ROUND(VLOOKUP(D366,#REF!,3,FALSE),0)/1000,0)</f>
        <v>0</v>
      </c>
      <c r="L366" s="14"/>
      <c r="M366" s="20">
        <v>40</v>
      </c>
      <c r="N366" s="8">
        <v>-1</v>
      </c>
      <c r="O366" s="9">
        <v>-40</v>
      </c>
    </row>
    <row r="367" spans="1:15" s="3" customFormat="1" ht="12" outlineLevel="1" thickTop="1" thickBot="1">
      <c r="A367" s="3" t="s">
        <v>631</v>
      </c>
      <c r="B367" s="15" t="s">
        <v>1075</v>
      </c>
      <c r="C367" s="15" t="s">
        <v>627</v>
      </c>
      <c r="D367" s="17" t="s">
        <v>1075</v>
      </c>
      <c r="E367" s="19" t="s">
        <v>632</v>
      </c>
      <c r="F367" s="30">
        <v>589</v>
      </c>
      <c r="G367" s="7"/>
      <c r="H367" s="30">
        <v>0</v>
      </c>
      <c r="I367" s="30">
        <v>589</v>
      </c>
      <c r="J367" s="30">
        <v>0</v>
      </c>
      <c r="K367" s="30">
        <f>SUM(K365:K366)</f>
        <v>0</v>
      </c>
      <c r="L367" s="7"/>
      <c r="M367" s="30">
        <v>592</v>
      </c>
      <c r="N367" s="8">
        <v>-5.0675675675675678E-3</v>
      </c>
      <c r="O367" s="9">
        <v>-3</v>
      </c>
    </row>
    <row r="368" spans="1:15" s="3" customFormat="1" ht="12" outlineLevel="1" thickTop="1" thickBot="1">
      <c r="A368" s="3" t="s">
        <v>633</v>
      </c>
      <c r="B368" s="15" t="s">
        <v>1075</v>
      </c>
      <c r="C368" s="15" t="s">
        <v>1075</v>
      </c>
      <c r="D368" s="17" t="s">
        <v>1075</v>
      </c>
      <c r="F368" s="6"/>
      <c r="G368" s="7"/>
      <c r="H368" s="6"/>
      <c r="I368" s="6"/>
      <c r="J368" s="6"/>
      <c r="K368" s="6"/>
      <c r="L368" s="7"/>
      <c r="M368" s="6"/>
      <c r="N368" s="8" t="s">
        <v>739</v>
      </c>
      <c r="O368" s="9" t="s">
        <v>739</v>
      </c>
    </row>
    <row r="369" spans="1:16" s="3" customFormat="1" ht="12" outlineLevel="1" thickTop="1" thickBot="1">
      <c r="A369" s="3" t="s">
        <v>634</v>
      </c>
      <c r="B369" s="15" t="s">
        <v>1075</v>
      </c>
      <c r="C369" s="15" t="s">
        <v>635</v>
      </c>
      <c r="D369" s="17" t="s">
        <v>1075</v>
      </c>
      <c r="E369" s="19" t="s">
        <v>636</v>
      </c>
      <c r="F369" s="10">
        <v>0</v>
      </c>
      <c r="G369" s="7"/>
      <c r="H369" s="10">
        <v>0</v>
      </c>
      <c r="I369" s="10">
        <v>0</v>
      </c>
      <c r="J369" s="10">
        <v>0</v>
      </c>
      <c r="K369" s="10">
        <v>0</v>
      </c>
      <c r="L369" s="7"/>
      <c r="M369" s="10">
        <v>0</v>
      </c>
      <c r="N369" s="8" t="s">
        <v>739</v>
      </c>
      <c r="O369" s="9">
        <v>0</v>
      </c>
    </row>
    <row r="370" spans="1:16" s="3" customFormat="1" ht="12" outlineLevel="1" thickTop="1" thickBot="1">
      <c r="A370" s="3" t="s">
        <v>637</v>
      </c>
      <c r="B370" s="15" t="s">
        <v>1075</v>
      </c>
      <c r="C370" s="15" t="s">
        <v>1075</v>
      </c>
      <c r="D370" s="17" t="s">
        <v>1075</v>
      </c>
      <c r="F370" s="6"/>
      <c r="G370" s="7"/>
      <c r="H370" s="6"/>
      <c r="I370" s="6"/>
      <c r="J370" s="6"/>
      <c r="K370" s="6"/>
      <c r="L370" s="7"/>
      <c r="M370" s="6"/>
      <c r="N370" s="8" t="s">
        <v>739</v>
      </c>
      <c r="O370" s="9" t="s">
        <v>739</v>
      </c>
    </row>
    <row r="371" spans="1:16" s="3" customFormat="1" ht="12" outlineLevel="1" thickTop="1" thickBot="1">
      <c r="A371" s="3" t="s">
        <v>638</v>
      </c>
      <c r="B371" s="15" t="s">
        <v>1075</v>
      </c>
      <c r="C371" s="15" t="s">
        <v>1121</v>
      </c>
      <c r="D371" s="17" t="s">
        <v>1075</v>
      </c>
      <c r="E371" s="19" t="s">
        <v>639</v>
      </c>
      <c r="F371" s="10">
        <v>0</v>
      </c>
      <c r="G371" s="7"/>
      <c r="H371" s="10">
        <v>0</v>
      </c>
      <c r="I371" s="10">
        <v>0</v>
      </c>
      <c r="J371" s="10">
        <v>0</v>
      </c>
      <c r="K371" s="10">
        <v>0</v>
      </c>
      <c r="L371" s="7"/>
      <c r="M371" s="10">
        <v>0</v>
      </c>
      <c r="N371" s="8" t="s">
        <v>739</v>
      </c>
      <c r="O371" s="9">
        <v>0</v>
      </c>
    </row>
    <row r="372" spans="1:16" s="3" customFormat="1" ht="11.25" outlineLevel="1" thickTop="1">
      <c r="A372" s="3" t="s">
        <v>640</v>
      </c>
      <c r="B372" s="15" t="s">
        <v>1075</v>
      </c>
      <c r="C372" s="15" t="s">
        <v>1075</v>
      </c>
      <c r="D372" s="17" t="s">
        <v>1075</v>
      </c>
      <c r="F372" s="6"/>
      <c r="G372" s="7"/>
      <c r="H372" s="6"/>
      <c r="I372" s="6"/>
      <c r="J372" s="6"/>
      <c r="K372" s="6"/>
      <c r="L372" s="7"/>
      <c r="M372" s="6"/>
      <c r="N372" s="8" t="s">
        <v>739</v>
      </c>
      <c r="O372" s="9" t="s">
        <v>739</v>
      </c>
    </row>
    <row r="373" spans="1:16" s="3" customFormat="1" ht="10.5" customHeight="1" outlineLevel="2">
      <c r="A373" s="3" t="s">
        <v>641</v>
      </c>
      <c r="B373" s="15" t="s">
        <v>1075</v>
      </c>
      <c r="C373" s="15" t="s">
        <v>1122</v>
      </c>
      <c r="D373" s="17" t="s">
        <v>1324</v>
      </c>
      <c r="E373" s="3" t="s">
        <v>642</v>
      </c>
      <c r="F373" s="6">
        <v>1863</v>
      </c>
      <c r="G373" s="7"/>
      <c r="H373" s="6">
        <v>0</v>
      </c>
      <c r="I373" s="6">
        <v>1863</v>
      </c>
      <c r="J373" s="6">
        <v>0</v>
      </c>
      <c r="K373" s="6">
        <f>IFERROR(ROUND(VLOOKUP(D373,#REF!,3,FALSE),0)/1000,0)</f>
        <v>0</v>
      </c>
      <c r="L373" s="7"/>
      <c r="M373" s="6">
        <v>1303</v>
      </c>
      <c r="N373" s="8">
        <v>0.42977743668457408</v>
      </c>
      <c r="O373" s="9">
        <v>560</v>
      </c>
    </row>
    <row r="374" spans="1:16" s="3" customFormat="1" ht="11.25" customHeight="1" outlineLevel="2" thickBot="1">
      <c r="A374" s="3" t="s">
        <v>643</v>
      </c>
      <c r="B374" s="15" t="s">
        <v>1075</v>
      </c>
      <c r="C374" s="15" t="s">
        <v>1122</v>
      </c>
      <c r="D374" s="17" t="s">
        <v>1325</v>
      </c>
      <c r="E374" s="3" t="s">
        <v>644</v>
      </c>
      <c r="F374" s="20">
        <v>0</v>
      </c>
      <c r="G374" s="14"/>
      <c r="H374" s="20">
        <v>0</v>
      </c>
      <c r="I374" s="20">
        <v>0</v>
      </c>
      <c r="J374" s="20">
        <v>0</v>
      </c>
      <c r="K374" s="6">
        <f>IFERROR(ROUND(VLOOKUP(D374,#REF!,3,FALSE),0)/1000,0)</f>
        <v>0</v>
      </c>
      <c r="L374" s="14"/>
      <c r="M374" s="20">
        <v>-16357</v>
      </c>
      <c r="N374" s="8">
        <v>-1</v>
      </c>
      <c r="O374" s="9">
        <v>16357</v>
      </c>
      <c r="P374" s="81">
        <f>O374/BS!F32</f>
        <v>1.7556891556428905E-2</v>
      </c>
    </row>
    <row r="375" spans="1:16" s="3" customFormat="1" ht="12" outlineLevel="1" thickTop="1" thickBot="1">
      <c r="A375" s="3" t="s">
        <v>645</v>
      </c>
      <c r="B375" s="15" t="s">
        <v>1075</v>
      </c>
      <c r="C375" s="15" t="s">
        <v>1122</v>
      </c>
      <c r="D375" s="17" t="s">
        <v>1075</v>
      </c>
      <c r="E375" s="19" t="s">
        <v>646</v>
      </c>
      <c r="F375" s="30">
        <v>1863</v>
      </c>
      <c r="G375" s="7"/>
      <c r="H375" s="30">
        <v>0</v>
      </c>
      <c r="I375" s="30">
        <v>1863</v>
      </c>
      <c r="J375" s="30">
        <v>0</v>
      </c>
      <c r="K375" s="30">
        <f>SUM(K373:K374)</f>
        <v>0</v>
      </c>
      <c r="L375" s="7"/>
      <c r="M375" s="30">
        <v>-15054</v>
      </c>
      <c r="N375" s="8">
        <v>-1.1237544838581108</v>
      </c>
      <c r="O375" s="9">
        <v>16917</v>
      </c>
    </row>
    <row r="376" spans="1:16" s="3" customFormat="1" ht="11.25" outlineLevel="1" thickTop="1">
      <c r="A376" s="3" t="s">
        <v>647</v>
      </c>
      <c r="B376" s="15" t="s">
        <v>1075</v>
      </c>
      <c r="C376" s="15" t="s">
        <v>1075</v>
      </c>
      <c r="D376" s="17" t="s">
        <v>1075</v>
      </c>
      <c r="F376" s="6"/>
      <c r="G376" s="7"/>
      <c r="H376" s="6"/>
      <c r="I376" s="6"/>
      <c r="J376" s="6"/>
      <c r="K376" s="6"/>
      <c r="L376" s="7"/>
      <c r="M376" s="6"/>
      <c r="N376" s="8" t="s">
        <v>739</v>
      </c>
      <c r="O376" s="9" t="s">
        <v>739</v>
      </c>
    </row>
    <row r="377" spans="1:16" s="3" customFormat="1" ht="11.25" customHeight="1" outlineLevel="2" thickBot="1">
      <c r="A377" s="3" t="s">
        <v>648</v>
      </c>
      <c r="B377" s="15" t="s">
        <v>1075</v>
      </c>
      <c r="C377" s="15" t="s">
        <v>1123</v>
      </c>
      <c r="D377" s="17" t="s">
        <v>1326</v>
      </c>
      <c r="E377" s="3" t="s">
        <v>649</v>
      </c>
      <c r="F377" s="20">
        <v>314</v>
      </c>
      <c r="G377" s="14"/>
      <c r="H377" s="20">
        <v>0</v>
      </c>
      <c r="I377" s="20">
        <v>314</v>
      </c>
      <c r="J377" s="20">
        <v>0</v>
      </c>
      <c r="K377" s="6">
        <f>IFERROR(ROUND(VLOOKUP(D377,#REF!,3,FALSE),0)/1000,0)</f>
        <v>0</v>
      </c>
      <c r="L377" s="14"/>
      <c r="M377" s="20">
        <v>380</v>
      </c>
      <c r="N377" s="8">
        <v>-0.1736842105263158</v>
      </c>
      <c r="O377" s="9">
        <v>-66</v>
      </c>
    </row>
    <row r="378" spans="1:16" s="3" customFormat="1" ht="12" outlineLevel="1" thickTop="1" thickBot="1">
      <c r="A378" s="3" t="s">
        <v>650</v>
      </c>
      <c r="B378" s="15" t="s">
        <v>1075</v>
      </c>
      <c r="C378" s="15" t="s">
        <v>1123</v>
      </c>
      <c r="D378" s="17" t="s">
        <v>1075</v>
      </c>
      <c r="E378" s="19" t="s">
        <v>651</v>
      </c>
      <c r="F378" s="30">
        <v>314</v>
      </c>
      <c r="G378" s="7"/>
      <c r="H378" s="30">
        <v>0</v>
      </c>
      <c r="I378" s="30">
        <v>314</v>
      </c>
      <c r="J378" s="30">
        <v>0</v>
      </c>
      <c r="K378" s="30">
        <f>SUM(K377)</f>
        <v>0</v>
      </c>
      <c r="L378" s="7"/>
      <c r="M378" s="30">
        <v>380</v>
      </c>
      <c r="N378" s="8">
        <v>-0.1736842105263158</v>
      </c>
      <c r="O378" s="9">
        <v>-66</v>
      </c>
    </row>
    <row r="379" spans="1:16" s="3" customFormat="1" ht="11.25" outlineLevel="1" thickTop="1">
      <c r="A379" s="3" t="s">
        <v>652</v>
      </c>
      <c r="B379" s="15" t="s">
        <v>1075</v>
      </c>
      <c r="C379" s="15" t="s">
        <v>1075</v>
      </c>
      <c r="D379" s="17" t="s">
        <v>1075</v>
      </c>
      <c r="F379" s="6"/>
      <c r="G379" s="7"/>
      <c r="H379" s="6"/>
      <c r="I379" s="6"/>
      <c r="J379" s="6"/>
      <c r="K379" s="6"/>
      <c r="L379" s="7"/>
      <c r="M379" s="6"/>
      <c r="N379" s="8" t="s">
        <v>739</v>
      </c>
      <c r="O379" s="9" t="s">
        <v>739</v>
      </c>
    </row>
    <row r="380" spans="1:16" s="3" customFormat="1" ht="10.5" customHeight="1" outlineLevel="2">
      <c r="A380" s="3" t="s">
        <v>653</v>
      </c>
      <c r="B380" s="15" t="s">
        <v>1075</v>
      </c>
      <c r="C380" s="15" t="s">
        <v>1124</v>
      </c>
      <c r="D380" s="17" t="s">
        <v>1327</v>
      </c>
      <c r="E380" s="3" t="s">
        <v>654</v>
      </c>
      <c r="F380" s="6">
        <v>1838</v>
      </c>
      <c r="G380" s="7"/>
      <c r="H380" s="6">
        <v>0</v>
      </c>
      <c r="I380" s="6">
        <v>1838</v>
      </c>
      <c r="J380" s="6">
        <v>0</v>
      </c>
      <c r="K380" s="6">
        <f>IFERROR(ROUND(VLOOKUP(D380,#REF!,3,FALSE),0)/1000,0)</f>
        <v>0</v>
      </c>
      <c r="L380" s="7"/>
      <c r="M380" s="6">
        <v>2435</v>
      </c>
      <c r="N380" s="8">
        <v>-0.24517453798767966</v>
      </c>
      <c r="O380" s="9">
        <v>-597</v>
      </c>
    </row>
    <row r="381" spans="1:16" s="3" customFormat="1" ht="11.25" customHeight="1" outlineLevel="2" thickBot="1">
      <c r="A381" s="3" t="s">
        <v>655</v>
      </c>
      <c r="B381" s="15" t="s">
        <v>1075</v>
      </c>
      <c r="C381" s="15" t="s">
        <v>1124</v>
      </c>
      <c r="D381" s="17" t="s">
        <v>1328</v>
      </c>
      <c r="E381" s="3" t="s">
        <v>656</v>
      </c>
      <c r="F381" s="20">
        <v>239</v>
      </c>
      <c r="G381" s="14"/>
      <c r="H381" s="20">
        <v>0</v>
      </c>
      <c r="I381" s="20">
        <v>239</v>
      </c>
      <c r="J381" s="20">
        <v>0</v>
      </c>
      <c r="K381" s="6">
        <f>IFERROR(ROUND(VLOOKUP(D381,#REF!,3,FALSE),0)/1000,0)</f>
        <v>0</v>
      </c>
      <c r="L381" s="14"/>
      <c r="M381" s="20">
        <v>317</v>
      </c>
      <c r="N381" s="8">
        <v>-0.24605678233438485</v>
      </c>
      <c r="O381" s="9">
        <v>-78</v>
      </c>
    </row>
    <row r="382" spans="1:16" s="3" customFormat="1" ht="12" outlineLevel="1" thickTop="1" thickBot="1">
      <c r="A382" s="3" t="s">
        <v>657</v>
      </c>
      <c r="B382" s="15" t="s">
        <v>1075</v>
      </c>
      <c r="C382" s="15" t="s">
        <v>1124</v>
      </c>
      <c r="D382" s="17" t="s">
        <v>1075</v>
      </c>
      <c r="E382" s="19" t="s">
        <v>658</v>
      </c>
      <c r="F382" s="30">
        <v>2077</v>
      </c>
      <c r="G382" s="7"/>
      <c r="H382" s="30">
        <v>0</v>
      </c>
      <c r="I382" s="30">
        <v>2077</v>
      </c>
      <c r="J382" s="30">
        <v>0</v>
      </c>
      <c r="K382" s="30">
        <f>SUM(K380:K381)</f>
        <v>0</v>
      </c>
      <c r="L382" s="7"/>
      <c r="M382" s="30">
        <v>2752</v>
      </c>
      <c r="N382" s="8">
        <v>-0.24527616279069767</v>
      </c>
      <c r="O382" s="9">
        <v>-675</v>
      </c>
    </row>
    <row r="383" spans="1:16" s="3" customFormat="1" ht="11.25" outlineLevel="1" thickTop="1">
      <c r="A383" s="3" t="s">
        <v>659</v>
      </c>
      <c r="B383" s="15" t="s">
        <v>1075</v>
      </c>
      <c r="C383" s="15" t="s">
        <v>1075</v>
      </c>
      <c r="D383" s="17" t="s">
        <v>1075</v>
      </c>
      <c r="F383" s="6"/>
      <c r="G383" s="7"/>
      <c r="H383" s="6"/>
      <c r="I383" s="6"/>
      <c r="J383" s="6"/>
      <c r="K383" s="6"/>
      <c r="L383" s="7"/>
      <c r="M383" s="6"/>
      <c r="N383" s="8" t="s">
        <v>739</v>
      </c>
      <c r="O383" s="9" t="s">
        <v>739</v>
      </c>
    </row>
    <row r="384" spans="1:16" s="3" customFormat="1" ht="11.25" customHeight="1" outlineLevel="2" thickBot="1">
      <c r="A384" s="3" t="s">
        <v>660</v>
      </c>
      <c r="B384" s="15" t="s">
        <v>1075</v>
      </c>
      <c r="C384" s="15" t="s">
        <v>1125</v>
      </c>
      <c r="D384" s="17" t="s">
        <v>1329</v>
      </c>
      <c r="E384" s="3" t="s">
        <v>661</v>
      </c>
      <c r="F384" s="20">
        <v>25030</v>
      </c>
      <c r="G384" s="14"/>
      <c r="H384" s="20">
        <v>0</v>
      </c>
      <c r="I384" s="20">
        <v>25030</v>
      </c>
      <c r="J384" s="20">
        <v>0</v>
      </c>
      <c r="K384" s="6">
        <f>IFERROR(ROUND(VLOOKUP(D384,#REF!,3,FALSE),0)/1000,0)</f>
        <v>0</v>
      </c>
      <c r="L384" s="14"/>
      <c r="M384" s="20">
        <v>61271</v>
      </c>
      <c r="N384" s="8">
        <v>-0.59148700037538149</v>
      </c>
      <c r="O384" s="9">
        <v>-36241</v>
      </c>
    </row>
    <row r="385" spans="1:15" s="3" customFormat="1" ht="12" outlineLevel="1" thickTop="1" thickBot="1">
      <c r="A385" s="3" t="s">
        <v>662</v>
      </c>
      <c r="B385" s="15" t="s">
        <v>1075</v>
      </c>
      <c r="C385" s="15" t="s">
        <v>1125</v>
      </c>
      <c r="D385" s="17" t="s">
        <v>1075</v>
      </c>
      <c r="E385" s="19" t="s">
        <v>663</v>
      </c>
      <c r="F385" s="30">
        <v>25030</v>
      </c>
      <c r="G385" s="7"/>
      <c r="H385" s="30">
        <v>0</v>
      </c>
      <c r="I385" s="30">
        <v>25030</v>
      </c>
      <c r="J385" s="30">
        <v>0</v>
      </c>
      <c r="K385" s="30">
        <f>SUM(K384)</f>
        <v>0</v>
      </c>
      <c r="L385" s="7"/>
      <c r="M385" s="30">
        <v>61271</v>
      </c>
      <c r="N385" s="8">
        <v>-0.59148700037538149</v>
      </c>
      <c r="O385" s="9">
        <v>-36241</v>
      </c>
    </row>
    <row r="386" spans="1:15" s="3" customFormat="1" ht="11.25" outlineLevel="1" thickTop="1">
      <c r="A386" s="3" t="s">
        <v>664</v>
      </c>
      <c r="B386" s="15" t="s">
        <v>1075</v>
      </c>
      <c r="C386" s="15" t="s">
        <v>1075</v>
      </c>
      <c r="D386" s="17" t="s">
        <v>1075</v>
      </c>
      <c r="F386" s="6"/>
      <c r="G386" s="7"/>
      <c r="H386" s="6"/>
      <c r="I386" s="6"/>
      <c r="J386" s="6"/>
      <c r="K386" s="6"/>
      <c r="L386" s="7"/>
      <c r="M386" s="6"/>
      <c r="N386" s="8" t="s">
        <v>739</v>
      </c>
      <c r="O386" s="9" t="s">
        <v>739</v>
      </c>
    </row>
    <row r="387" spans="1:15" s="3" customFormat="1" ht="11.25" customHeight="1" outlineLevel="2" thickBot="1">
      <c r="A387" s="3" t="s">
        <v>665</v>
      </c>
      <c r="B387" s="15" t="s">
        <v>1075</v>
      </c>
      <c r="C387" s="15" t="s">
        <v>1126</v>
      </c>
      <c r="D387" s="17" t="s">
        <v>1330</v>
      </c>
      <c r="E387" s="3" t="s">
        <v>666</v>
      </c>
      <c r="F387" s="20">
        <v>23460</v>
      </c>
      <c r="G387" s="14"/>
      <c r="H387" s="20">
        <v>0</v>
      </c>
      <c r="I387" s="20">
        <v>23460</v>
      </c>
      <c r="J387" s="20">
        <v>0</v>
      </c>
      <c r="K387" s="6">
        <f>IFERROR(ROUND(VLOOKUP(D387,#REF!,3,FALSE),0)/1000,0)</f>
        <v>0</v>
      </c>
      <c r="L387" s="14"/>
      <c r="M387" s="20">
        <v>48081</v>
      </c>
      <c r="N387" s="8">
        <v>-0.5120733761777001</v>
      </c>
      <c r="O387" s="9">
        <v>-24621</v>
      </c>
    </row>
    <row r="388" spans="1:15" s="3" customFormat="1" ht="12" outlineLevel="1" thickTop="1" thickBot="1">
      <c r="A388" s="3" t="s">
        <v>667</v>
      </c>
      <c r="B388" s="15" t="s">
        <v>1075</v>
      </c>
      <c r="C388" s="15" t="s">
        <v>1126</v>
      </c>
      <c r="D388" s="17" t="s">
        <v>1075</v>
      </c>
      <c r="E388" s="19" t="s">
        <v>668</v>
      </c>
      <c r="F388" s="30">
        <v>23460</v>
      </c>
      <c r="G388" s="7"/>
      <c r="H388" s="30">
        <v>0</v>
      </c>
      <c r="I388" s="30">
        <v>23460</v>
      </c>
      <c r="J388" s="30">
        <v>0</v>
      </c>
      <c r="K388" s="30">
        <f>SUM(K387)</f>
        <v>0</v>
      </c>
      <c r="L388" s="7"/>
      <c r="M388" s="30">
        <v>48081</v>
      </c>
      <c r="N388" s="8">
        <v>-0.5120733761777001</v>
      </c>
      <c r="O388" s="9">
        <v>-24621</v>
      </c>
    </row>
    <row r="389" spans="1:15" s="3" customFormat="1" ht="12" thickTop="1" thickBot="1">
      <c r="A389" s="22" t="s">
        <v>669</v>
      </c>
      <c r="B389" s="23" t="s">
        <v>1075</v>
      </c>
      <c r="C389" s="24" t="s">
        <v>670</v>
      </c>
      <c r="D389" s="23" t="s">
        <v>1075</v>
      </c>
      <c r="E389" s="22"/>
      <c r="F389" s="10">
        <v>0</v>
      </c>
      <c r="G389" s="7"/>
      <c r="H389" s="10">
        <v>0</v>
      </c>
      <c r="I389" s="10">
        <v>0</v>
      </c>
      <c r="J389" s="10">
        <v>0</v>
      </c>
      <c r="K389" s="10">
        <v>0</v>
      </c>
      <c r="L389" s="7"/>
      <c r="M389" s="10">
        <v>0</v>
      </c>
      <c r="N389" s="501" t="s">
        <v>739</v>
      </c>
      <c r="O389" s="500">
        <v>0</v>
      </c>
    </row>
    <row r="390" spans="1:15" customFormat="1" ht="16.5" thickTop="1">
      <c r="B390" s="28"/>
      <c r="C390" s="28"/>
      <c r="D390" s="29"/>
      <c r="N390" s="26"/>
      <c r="O390" s="25"/>
    </row>
    <row r="391" spans="1:15" customFormat="1" ht="15.75">
      <c r="B391" s="28"/>
      <c r="C391" s="28"/>
      <c r="D391" s="29"/>
      <c r="N391" s="26"/>
      <c r="O391" s="25"/>
    </row>
    <row r="392" spans="1:15" customFormat="1" ht="15.75">
      <c r="B392" s="28"/>
      <c r="C392" s="28"/>
      <c r="D392" s="29"/>
      <c r="N392" s="26"/>
      <c r="O392" s="25"/>
    </row>
    <row r="393" spans="1:15" customFormat="1" ht="15.75">
      <c r="B393" s="28"/>
      <c r="C393" s="28"/>
      <c r="D393" s="29"/>
      <c r="N393" s="26"/>
      <c r="O393" s="25"/>
    </row>
    <row r="394" spans="1:15" customFormat="1" ht="15.75">
      <c r="B394" s="28"/>
      <c r="C394" s="28"/>
      <c r="D394" s="29"/>
      <c r="N394" s="26"/>
      <c r="O394" s="25"/>
    </row>
    <row r="395" spans="1:15" customFormat="1" ht="15.75">
      <c r="B395" s="28"/>
      <c r="C395" s="28"/>
      <c r="D395" s="29"/>
      <c r="N395" s="26"/>
      <c r="O395" s="25"/>
    </row>
  </sheetData>
  <pageMargins left="0.7" right="0.7" top="0.75" bottom="0.75" header="0.3" footer="0.3"/>
  <pageSetup orientation="portrait" r:id="rId1"/>
  <customProperties>
    <customPr name="LeadSheet" r:id="rId2"/>
  </customPropertie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2060"/>
    <pageSetUpPr fitToPage="1"/>
  </sheetPr>
  <dimension ref="A1:BK50"/>
  <sheetViews>
    <sheetView showGridLines="0" topLeftCell="AH15" zoomScaleNormal="100" zoomScaleSheetLayoutView="115" workbookViewId="0">
      <selection activeCell="BK50" sqref="BK50"/>
    </sheetView>
  </sheetViews>
  <sheetFormatPr defaultColWidth="9" defaultRowHeight="11.25"/>
  <cols>
    <col min="1" max="1" width="3.25" style="507" customWidth="1"/>
    <col min="2" max="2" width="36" style="514" customWidth="1"/>
    <col min="3" max="3" width="12.25" style="507" customWidth="1"/>
    <col min="4" max="4" width="13.625" style="507" customWidth="1"/>
    <col min="5" max="5" width="11.875" style="507" customWidth="1"/>
    <col min="6" max="6" width="7.875" style="507" customWidth="1"/>
    <col min="7" max="7" width="1.125" style="507" customWidth="1"/>
    <col min="8" max="8" width="14.25" style="507" customWidth="1"/>
    <col min="9" max="9" width="13.5" style="507" customWidth="1"/>
    <col min="10" max="10" width="10.625" style="507" customWidth="1"/>
    <col min="11" max="11" width="17.75" style="509" customWidth="1"/>
    <col min="12" max="12" width="10" style="507" customWidth="1"/>
    <col min="13" max="13" width="16.25" style="508" customWidth="1"/>
    <col min="14" max="14" width="12" style="509" customWidth="1"/>
    <col min="15" max="15" width="17.75" style="507" customWidth="1"/>
    <col min="16" max="16" width="2.625" style="507" customWidth="1"/>
    <col min="17" max="17" width="17.75" style="510" customWidth="1"/>
    <col min="18" max="18" width="10.75" style="510" customWidth="1"/>
    <col min="19" max="19" width="11.5" style="511" customWidth="1"/>
    <col min="20" max="20" width="10.5" style="511" customWidth="1"/>
    <col min="21" max="21" width="11.625" style="512" customWidth="1"/>
    <col min="22" max="22" width="17.75" style="510" customWidth="1"/>
    <col min="23" max="23" width="5.625" style="510" customWidth="1"/>
    <col min="24" max="24" width="16.375" style="510" customWidth="1"/>
    <col min="25" max="25" width="1.125" style="513" customWidth="1"/>
    <col min="26" max="29" width="15" style="507" customWidth="1"/>
    <col min="30" max="30" width="14.75" style="514" customWidth="1"/>
    <col min="31" max="31" width="11.625" style="507" customWidth="1"/>
    <col min="32" max="32" width="18.625" style="507" customWidth="1"/>
    <col min="33" max="33" width="15.75" style="507" customWidth="1"/>
    <col min="34" max="34" width="3" style="507" customWidth="1"/>
    <col min="35" max="35" width="15" style="507" customWidth="1"/>
    <col min="36" max="36" width="4.25" style="513" customWidth="1"/>
    <col min="37" max="37" width="1.125" style="513" customWidth="1"/>
    <col min="38" max="38" width="11.625" style="507" customWidth="1"/>
    <col min="39" max="39" width="13.75" style="514" customWidth="1"/>
    <col min="40" max="40" width="12.375" style="507" customWidth="1"/>
    <col min="41" max="41" width="17.875" style="507" customWidth="1"/>
    <col min="42" max="42" width="1" style="513" customWidth="1"/>
    <col min="43" max="43" width="2.5" style="515" hidden="1" customWidth="1"/>
    <col min="44" max="44" width="11.25" style="507" hidden="1" customWidth="1"/>
    <col min="45" max="45" width="11.5" style="507" hidden="1" customWidth="1"/>
    <col min="46" max="46" width="14.75" style="507" hidden="1" customWidth="1"/>
    <col min="47" max="47" width="2.625" style="516" hidden="1" customWidth="1"/>
    <col min="48" max="48" width="13.75" style="516" hidden="1" customWidth="1"/>
    <col min="49" max="49" width="16.875" style="516" hidden="1" customWidth="1"/>
    <col min="50" max="50" width="14" style="516" hidden="1" customWidth="1"/>
    <col min="51" max="52" width="14.5" style="516" hidden="1" customWidth="1"/>
    <col min="53" max="53" width="12.25" style="516" hidden="1" customWidth="1"/>
    <col min="54" max="54" width="10.5" style="516" hidden="1" customWidth="1"/>
    <col min="55" max="55" width="18.5" style="516" hidden="1" customWidth="1"/>
    <col min="56" max="56" width="9" style="516"/>
    <col min="57" max="57" width="12" style="516" customWidth="1"/>
    <col min="58" max="58" width="13.375" style="516" customWidth="1"/>
    <col min="59" max="59" width="14.25" style="516" customWidth="1"/>
    <col min="60" max="60" width="11.5" style="516" customWidth="1"/>
    <col min="61" max="61" width="13.375" style="516" customWidth="1"/>
    <col min="62" max="62" width="10.25" style="516" customWidth="1"/>
    <col min="63" max="63" width="12" style="516" customWidth="1"/>
    <col min="64" max="16384" width="9" style="516"/>
  </cols>
  <sheetData>
    <row r="1" spans="1:63" ht="45" customHeight="1">
      <c r="A1" s="505"/>
      <c r="B1" s="505"/>
      <c r="C1" s="505"/>
      <c r="D1" s="505"/>
      <c r="E1" s="505"/>
      <c r="F1" s="505"/>
      <c r="G1" s="505"/>
      <c r="H1" s="505"/>
      <c r="I1" s="505"/>
      <c r="J1" s="505"/>
      <c r="K1" s="506"/>
    </row>
    <row r="2" spans="1:63" ht="13.5" customHeight="1" thickBot="1">
      <c r="A2" s="505"/>
      <c r="B2" s="517"/>
      <c r="C2" s="518"/>
      <c r="D2" s="518"/>
      <c r="E2" s="518"/>
      <c r="F2" s="518"/>
      <c r="G2" s="518"/>
      <c r="H2" s="518"/>
      <c r="I2" s="518"/>
      <c r="J2" s="519" t="s">
        <v>1705</v>
      </c>
      <c r="K2" s="506"/>
      <c r="AF2" s="520"/>
      <c r="AG2" s="521"/>
      <c r="AH2" s="521"/>
      <c r="AI2" s="522"/>
      <c r="AJ2" s="521"/>
      <c r="AK2" s="521"/>
      <c r="AL2" s="521"/>
      <c r="AM2" s="521"/>
      <c r="AN2" s="522"/>
      <c r="AO2" s="521"/>
    </row>
    <row r="3" spans="1:63" ht="23.25" customHeight="1">
      <c r="A3" s="505"/>
      <c r="B3" s="523" t="s">
        <v>1706</v>
      </c>
      <c r="C3" s="523"/>
      <c r="D3" s="523"/>
      <c r="E3" s="523" t="s">
        <v>1707</v>
      </c>
      <c r="F3" s="523"/>
      <c r="G3" s="523"/>
      <c r="H3" s="523" t="s">
        <v>1708</v>
      </c>
      <c r="I3" s="523"/>
      <c r="J3" s="523"/>
      <c r="K3" s="506"/>
      <c r="AF3" s="520"/>
      <c r="AG3" s="521"/>
      <c r="AH3" s="521"/>
      <c r="AI3" s="522"/>
      <c r="AJ3" s="521"/>
      <c r="AK3" s="521"/>
      <c r="AL3" s="521"/>
      <c r="AM3" s="521"/>
      <c r="AN3" s="522"/>
      <c r="AO3" s="521"/>
    </row>
    <row r="4" spans="1:63" ht="13.5" customHeight="1" thickBot="1">
      <c r="A4" s="505"/>
      <c r="B4" s="524" t="s">
        <v>1709</v>
      </c>
      <c r="C4" s="524"/>
      <c r="D4" s="524"/>
      <c r="E4" s="524" t="s">
        <v>1710</v>
      </c>
      <c r="F4" s="524"/>
      <c r="G4" s="524"/>
      <c r="H4" s="524" t="s">
        <v>1711</v>
      </c>
      <c r="I4" s="524"/>
      <c r="J4" s="524"/>
      <c r="K4" s="506"/>
      <c r="AF4" s="520"/>
      <c r="AG4" s="521"/>
      <c r="AH4" s="521"/>
      <c r="AI4" s="521"/>
      <c r="AJ4" s="521"/>
      <c r="AK4" s="521"/>
      <c r="AL4" s="521"/>
      <c r="AM4" s="521"/>
      <c r="AN4" s="525"/>
      <c r="AO4" s="521"/>
    </row>
    <row r="5" spans="1:63" ht="23.25" customHeight="1">
      <c r="A5" s="505"/>
      <c r="B5" s="523" t="s">
        <v>1712</v>
      </c>
      <c r="C5" s="523"/>
      <c r="D5" s="523"/>
      <c r="E5" s="523" t="s">
        <v>1713</v>
      </c>
      <c r="F5" s="523"/>
      <c r="G5" s="523"/>
      <c r="H5" s="523" t="s">
        <v>1714</v>
      </c>
      <c r="I5" s="523"/>
      <c r="J5" s="523"/>
      <c r="K5" s="506"/>
      <c r="U5" s="516"/>
      <c r="V5" s="516"/>
      <c r="X5" s="516"/>
      <c r="Y5" s="516"/>
      <c r="AL5" s="526"/>
      <c r="AM5" s="527"/>
      <c r="AN5" s="526"/>
    </row>
    <row r="6" spans="1:63" ht="15" customHeight="1" thickBot="1">
      <c r="A6" s="505"/>
      <c r="B6" s="524" t="s">
        <v>1369</v>
      </c>
      <c r="C6" s="524"/>
      <c r="D6" s="524"/>
      <c r="E6" s="524" t="s">
        <v>1711</v>
      </c>
      <c r="F6" s="524"/>
      <c r="G6" s="524"/>
      <c r="H6" s="524" t="s">
        <v>1715</v>
      </c>
      <c r="I6" s="524"/>
      <c r="J6" s="524"/>
      <c r="K6" s="506"/>
      <c r="U6" s="516"/>
      <c r="V6" s="516"/>
      <c r="X6" s="516"/>
      <c r="Y6" s="516"/>
    </row>
    <row r="7" spans="1:63" ht="15.75">
      <c r="A7" s="505"/>
      <c r="B7" s="3209" t="s">
        <v>1716</v>
      </c>
      <c r="C7" s="3210"/>
      <c r="D7" s="3210"/>
      <c r="E7" s="3210"/>
      <c r="F7" s="3210"/>
      <c r="G7" s="3210"/>
      <c r="H7" s="3210"/>
      <c r="I7" s="3210"/>
      <c r="J7" s="3210"/>
      <c r="K7" s="506"/>
    </row>
    <row r="8" spans="1:63" ht="9" customHeight="1"/>
    <row r="9" spans="1:63">
      <c r="A9" s="528"/>
      <c r="B9" s="529" t="s">
        <v>1717</v>
      </c>
      <c r="U9" s="3211" t="s">
        <v>1718</v>
      </c>
      <c r="V9" s="3211"/>
      <c r="Z9" s="530"/>
      <c r="AA9" s="530"/>
      <c r="AB9" s="530"/>
      <c r="AC9" s="530"/>
      <c r="AD9" s="531"/>
      <c r="AL9" s="532"/>
      <c r="AM9" s="533"/>
      <c r="AN9" s="532"/>
      <c r="AO9" s="532"/>
    </row>
    <row r="10" spans="1:63" ht="12" thickBot="1">
      <c r="A10" s="528"/>
      <c r="B10" s="529"/>
      <c r="C10" s="534" t="s">
        <v>1719</v>
      </c>
      <c r="T10" s="511">
        <f>U10-1</f>
        <v>42916</v>
      </c>
      <c r="U10" s="535">
        <v>42917</v>
      </c>
      <c r="V10" s="536">
        <v>43281</v>
      </c>
      <c r="Z10" s="530"/>
      <c r="AA10" s="530"/>
      <c r="AB10" s="530"/>
      <c r="AC10" s="530"/>
      <c r="AD10" s="531"/>
      <c r="AL10" s="532"/>
      <c r="AM10" s="533"/>
      <c r="AN10" s="532"/>
      <c r="AO10" s="532"/>
    </row>
    <row r="11" spans="1:63" s="550" customFormat="1" ht="12.75" customHeight="1">
      <c r="A11" s="537"/>
      <c r="B11" s="537" t="s">
        <v>1720</v>
      </c>
      <c r="C11" s="534" t="s">
        <v>1721</v>
      </c>
      <c r="D11" s="538"/>
      <c r="E11" s="538"/>
      <c r="F11" s="538"/>
      <c r="G11" s="538"/>
      <c r="H11" s="539"/>
      <c r="I11" s="538"/>
      <c r="J11" s="538"/>
      <c r="K11" s="539"/>
      <c r="L11" s="538"/>
      <c r="M11" s="540"/>
      <c r="N11" s="539"/>
      <c r="O11" s="538"/>
      <c r="P11" s="538"/>
      <c r="Q11" s="541"/>
      <c r="R11" s="541"/>
      <c r="S11" s="542"/>
      <c r="T11" s="542"/>
      <c r="U11" s="543"/>
      <c r="V11" s="541"/>
      <c r="W11" s="541"/>
      <c r="X11" s="541"/>
      <c r="Y11" s="544"/>
      <c r="Z11" s="545"/>
      <c r="AA11" s="545"/>
      <c r="AB11" s="545"/>
      <c r="AC11" s="545"/>
      <c r="AD11" s="546"/>
      <c r="AE11" s="538"/>
      <c r="AF11" s="538"/>
      <c r="AG11" s="538"/>
      <c r="AH11" s="538"/>
      <c r="AI11" s="538"/>
      <c r="AJ11" s="544"/>
      <c r="AK11" s="544"/>
      <c r="AL11" s="538"/>
      <c r="AM11" s="547"/>
      <c r="AN11" s="538"/>
      <c r="AO11" s="538"/>
      <c r="AP11" s="544"/>
      <c r="AQ11" s="548"/>
      <c r="AR11" s="3212" t="s">
        <v>1722</v>
      </c>
      <c r="AS11" s="3213"/>
      <c r="AT11" s="3214"/>
      <c r="AU11" s="549"/>
    </row>
    <row r="12" spans="1:63" s="550" customFormat="1" ht="12.75" customHeight="1">
      <c r="A12" s="537"/>
      <c r="B12" s="537"/>
      <c r="C12" s="534"/>
      <c r="D12" s="538"/>
      <c r="E12" s="538"/>
      <c r="F12" s="538"/>
      <c r="G12" s="538"/>
      <c r="H12" s="539"/>
      <c r="I12" s="538"/>
      <c r="J12" s="538"/>
      <c r="K12" s="539"/>
      <c r="L12" s="538"/>
      <c r="M12" s="540"/>
      <c r="N12" s="539"/>
      <c r="O12" s="538"/>
      <c r="P12" s="538"/>
      <c r="Q12" s="541"/>
      <c r="R12" s="541"/>
      <c r="S12" s="542"/>
      <c r="T12" s="542"/>
      <c r="U12" s="543"/>
      <c r="V12" s="541"/>
      <c r="W12" s="541"/>
      <c r="X12" s="541"/>
      <c r="Y12" s="544"/>
      <c r="Z12" s="545"/>
      <c r="AA12" s="545"/>
      <c r="AB12" s="545"/>
      <c r="AC12" s="545"/>
      <c r="AD12" s="546"/>
      <c r="AE12" s="538"/>
      <c r="AF12" s="538"/>
      <c r="AG12" s="538"/>
      <c r="AH12" s="538"/>
      <c r="AI12" s="538"/>
      <c r="AJ12" s="544"/>
      <c r="AK12" s="544"/>
      <c r="AL12" s="538"/>
      <c r="AM12" s="547"/>
      <c r="AN12" s="538"/>
      <c r="AO12" s="538"/>
      <c r="AP12" s="544"/>
      <c r="AQ12" s="548"/>
      <c r="AR12" s="3215"/>
      <c r="AS12" s="3216"/>
      <c r="AT12" s="3217"/>
      <c r="AU12" s="549"/>
    </row>
    <row r="13" spans="1:63" s="550" customFormat="1" ht="12" thickBot="1">
      <c r="A13" s="538"/>
      <c r="B13" s="551"/>
      <c r="C13" s="538"/>
      <c r="D13" s="538"/>
      <c r="E13" s="538"/>
      <c r="F13" s="538"/>
      <c r="G13" s="538"/>
      <c r="H13" s="538"/>
      <c r="I13" s="538"/>
      <c r="J13" s="538"/>
      <c r="K13" s="539"/>
      <c r="L13" s="538"/>
      <c r="M13" s="540"/>
      <c r="N13" s="539"/>
      <c r="O13" s="538"/>
      <c r="P13" s="538"/>
      <c r="Q13" s="541"/>
      <c r="R13" s="541"/>
      <c r="S13" s="542"/>
      <c r="T13" s="542"/>
      <c r="U13" s="543"/>
      <c r="V13" s="541"/>
      <c r="W13" s="541"/>
      <c r="X13" s="541"/>
      <c r="Y13" s="544"/>
      <c r="Z13" s="545"/>
      <c r="AA13" s="545"/>
      <c r="AB13" s="545"/>
      <c r="AC13" s="545"/>
      <c r="AD13" s="546"/>
      <c r="AE13" s="538"/>
      <c r="AF13" s="538"/>
      <c r="AG13" s="538"/>
      <c r="AH13" s="538"/>
      <c r="AI13" s="538"/>
      <c r="AJ13" s="544"/>
      <c r="AK13" s="544"/>
      <c r="AL13" s="538"/>
      <c r="AM13" s="547"/>
      <c r="AN13" s="538"/>
      <c r="AO13" s="538"/>
      <c r="AP13" s="544"/>
      <c r="AQ13" s="548"/>
      <c r="AR13" s="3215"/>
      <c r="AS13" s="3216"/>
      <c r="AT13" s="3217"/>
      <c r="AU13" s="549"/>
    </row>
    <row r="14" spans="1:63" s="550" customFormat="1" ht="13.5" customHeight="1" thickBot="1">
      <c r="A14" s="538"/>
      <c r="B14" s="547"/>
      <c r="C14" s="538"/>
      <c r="D14" s="538"/>
      <c r="E14" s="538"/>
      <c r="F14" s="538"/>
      <c r="G14" s="538"/>
      <c r="H14" s="3221" t="s">
        <v>1723</v>
      </c>
      <c r="I14" s="3221"/>
      <c r="J14" s="3221"/>
      <c r="K14" s="3221"/>
      <c r="L14" s="3221"/>
      <c r="M14" s="3221"/>
      <c r="N14" s="3221"/>
      <c r="O14" s="3221"/>
      <c r="P14" s="538"/>
      <c r="Q14" s="3222" t="s">
        <v>1724</v>
      </c>
      <c r="R14" s="3222"/>
      <c r="S14" s="3222"/>
      <c r="T14" s="3222"/>
      <c r="U14" s="3222"/>
      <c r="V14" s="3222"/>
      <c r="W14" s="3222"/>
      <c r="X14" s="3222"/>
      <c r="Y14" s="544"/>
      <c r="Z14" s="3223" t="s">
        <v>1725</v>
      </c>
      <c r="AA14" s="3224"/>
      <c r="AB14" s="3224"/>
      <c r="AC14" s="3224"/>
      <c r="AD14" s="3224"/>
      <c r="AE14" s="3224"/>
      <c r="AF14" s="3224"/>
      <c r="AG14" s="3224"/>
      <c r="AH14" s="3224"/>
      <c r="AI14" s="3225"/>
      <c r="AJ14" s="544"/>
      <c r="AK14" s="544"/>
      <c r="AL14" s="538"/>
      <c r="AM14" s="547"/>
      <c r="AN14" s="538"/>
      <c r="AO14" s="538"/>
      <c r="AP14" s="544"/>
      <c r="AQ14" s="548"/>
      <c r="AR14" s="3218"/>
      <c r="AS14" s="3219"/>
      <c r="AT14" s="3220"/>
      <c r="AU14" s="549"/>
      <c r="AV14" s="3226" t="s">
        <v>1726</v>
      </c>
      <c r="AW14" s="3226"/>
      <c r="AX14" s="3226"/>
    </row>
    <row r="15" spans="1:63" s="556" customFormat="1" ht="12" customHeight="1" thickBot="1">
      <c r="A15" s="552"/>
      <c r="B15" s="552"/>
      <c r="C15" s="3227" t="s">
        <v>1727</v>
      </c>
      <c r="D15" s="3227"/>
      <c r="E15" s="3227"/>
      <c r="F15" s="3227"/>
      <c r="G15" s="552"/>
      <c r="H15" s="3227" t="s">
        <v>1728</v>
      </c>
      <c r="I15" s="3227"/>
      <c r="J15" s="3227"/>
      <c r="K15" s="3227"/>
      <c r="L15" s="3227"/>
      <c r="M15" s="3227"/>
      <c r="N15" s="3227"/>
      <c r="O15" s="3227"/>
      <c r="P15" s="552"/>
      <c r="Q15" s="3228" t="s">
        <v>1729</v>
      </c>
      <c r="R15" s="3228"/>
      <c r="S15" s="3228"/>
      <c r="T15" s="3228"/>
      <c r="U15" s="3228"/>
      <c r="V15" s="3228"/>
      <c r="W15" s="3228"/>
      <c r="X15" s="3228"/>
      <c r="Y15" s="553"/>
      <c r="Z15" s="554" t="s">
        <v>1730</v>
      </c>
      <c r="AA15" s="554"/>
      <c r="AB15" s="554"/>
      <c r="AC15" s="554"/>
      <c r="AD15" s="554"/>
      <c r="AE15" s="554"/>
      <c r="AF15" s="554"/>
      <c r="AG15" s="554"/>
      <c r="AH15" s="554"/>
      <c r="AI15" s="554"/>
      <c r="AJ15" s="553"/>
      <c r="AK15" s="553"/>
      <c r="AL15" s="3229" t="s">
        <v>1731</v>
      </c>
      <c r="AM15" s="3229"/>
      <c r="AN15" s="3229"/>
      <c r="AO15" s="3229"/>
      <c r="AP15" s="553"/>
      <c r="AQ15" s="555"/>
      <c r="AR15" s="3230" t="s">
        <v>1732</v>
      </c>
      <c r="AS15" s="3231"/>
      <c r="AT15" s="3232"/>
      <c r="AV15" s="3233" t="s">
        <v>1733</v>
      </c>
      <c r="AW15" s="3233" t="s">
        <v>866</v>
      </c>
      <c r="AX15" s="3233" t="s">
        <v>1734</v>
      </c>
      <c r="AY15" s="3230" t="s">
        <v>1735</v>
      </c>
      <c r="AZ15" s="3231"/>
      <c r="BA15" s="3232"/>
      <c r="BC15" s="557"/>
      <c r="BE15" s="3239" t="s">
        <v>1837</v>
      </c>
      <c r="BF15" s="3239"/>
      <c r="BG15" s="3239"/>
      <c r="BH15" s="3239"/>
      <c r="BI15" s="3239"/>
      <c r="BJ15" s="3239"/>
      <c r="BK15" s="3239"/>
    </row>
    <row r="16" spans="1:63" s="556" customFormat="1" ht="27.75" customHeight="1" thickBot="1">
      <c r="A16" s="552"/>
      <c r="B16" s="554" t="s">
        <v>1736</v>
      </c>
      <c r="C16" s="554" t="s">
        <v>1737</v>
      </c>
      <c r="D16" s="554" t="s">
        <v>1738</v>
      </c>
      <c r="E16" s="554" t="s">
        <v>1739</v>
      </c>
      <c r="F16" s="554" t="s">
        <v>1740</v>
      </c>
      <c r="G16" s="552"/>
      <c r="H16" s="554" t="s">
        <v>1741</v>
      </c>
      <c r="I16" s="554" t="s">
        <v>1742</v>
      </c>
      <c r="J16" s="554" t="s">
        <v>1743</v>
      </c>
      <c r="K16" s="558" t="s">
        <v>1744</v>
      </c>
      <c r="L16" s="554" t="s">
        <v>1745</v>
      </c>
      <c r="M16" s="558" t="s">
        <v>1746</v>
      </c>
      <c r="N16" s="559" t="s">
        <v>1747</v>
      </c>
      <c r="O16" s="554" t="s">
        <v>1748</v>
      </c>
      <c r="P16" s="552"/>
      <c r="Q16" s="560" t="s">
        <v>1749</v>
      </c>
      <c r="R16" s="560" t="s">
        <v>1750</v>
      </c>
      <c r="S16" s="561" t="s">
        <v>1751</v>
      </c>
      <c r="T16" s="561"/>
      <c r="U16" s="562" t="s">
        <v>1752</v>
      </c>
      <c r="V16" s="560" t="s">
        <v>1753</v>
      </c>
      <c r="W16" s="560" t="s">
        <v>1754</v>
      </c>
      <c r="X16" s="560" t="s">
        <v>1755</v>
      </c>
      <c r="Y16" s="553"/>
      <c r="Z16" s="554" t="s">
        <v>1756</v>
      </c>
      <c r="AA16" s="554" t="s">
        <v>881</v>
      </c>
      <c r="AB16" s="554" t="s">
        <v>1757</v>
      </c>
      <c r="AC16" s="554" t="s">
        <v>1758</v>
      </c>
      <c r="AD16" s="554" t="s">
        <v>1759</v>
      </c>
      <c r="AE16" s="554" t="s">
        <v>1760</v>
      </c>
      <c r="AF16" s="554" t="s">
        <v>1761</v>
      </c>
      <c r="AG16" s="554" t="s">
        <v>866</v>
      </c>
      <c r="AH16" s="554"/>
      <c r="AI16" s="554" t="s">
        <v>1762</v>
      </c>
      <c r="AJ16" s="554" t="s">
        <v>1754</v>
      </c>
      <c r="AK16" s="553"/>
      <c r="AL16" s="554" t="s">
        <v>1763</v>
      </c>
      <c r="AM16" s="554" t="s">
        <v>1764</v>
      </c>
      <c r="AN16" s="554" t="s">
        <v>1765</v>
      </c>
      <c r="AO16" s="563" t="s">
        <v>1630</v>
      </c>
      <c r="AP16" s="553"/>
      <c r="AQ16" s="555"/>
      <c r="AR16" s="554" t="s">
        <v>1766</v>
      </c>
      <c r="AS16" s="554" t="s">
        <v>1767</v>
      </c>
      <c r="AT16" s="563" t="s">
        <v>771</v>
      </c>
      <c r="AV16" s="3234"/>
      <c r="AW16" s="3234"/>
      <c r="AX16" s="3234"/>
      <c r="AY16" s="554" t="s">
        <v>1768</v>
      </c>
      <c r="AZ16" s="554" t="s">
        <v>1769</v>
      </c>
      <c r="BA16" s="563" t="s">
        <v>841</v>
      </c>
      <c r="BC16" s="554" t="s">
        <v>1770</v>
      </c>
      <c r="BE16" s="821" t="s">
        <v>1841</v>
      </c>
      <c r="BF16" s="803" t="s">
        <v>1838</v>
      </c>
      <c r="BG16" s="803" t="s">
        <v>1839</v>
      </c>
      <c r="BH16" s="821" t="s">
        <v>1842</v>
      </c>
      <c r="BI16" s="803" t="s">
        <v>1838</v>
      </c>
      <c r="BJ16" s="803" t="s">
        <v>1839</v>
      </c>
      <c r="BK16" s="805" t="s">
        <v>1840</v>
      </c>
    </row>
    <row r="17" spans="2:63" ht="12.75">
      <c r="B17" s="564"/>
      <c r="C17" s="564"/>
      <c r="D17" s="564"/>
      <c r="E17" s="564"/>
      <c r="F17" s="564"/>
      <c r="H17" s="564"/>
      <c r="I17" s="564"/>
      <c r="J17" s="564"/>
      <c r="K17" s="565"/>
      <c r="L17" s="564"/>
      <c r="M17" s="566"/>
      <c r="N17" s="565"/>
      <c r="O17" s="564"/>
      <c r="Q17" s="565"/>
      <c r="R17" s="565"/>
      <c r="S17" s="567"/>
      <c r="T17" s="567"/>
      <c r="U17" s="568"/>
      <c r="V17" s="565"/>
      <c r="W17" s="565"/>
      <c r="X17" s="565"/>
      <c r="Z17" s="569"/>
      <c r="AA17" s="569"/>
      <c r="AB17" s="569"/>
      <c r="AC17" s="569" t="s">
        <v>1771</v>
      </c>
      <c r="AE17" s="569" t="s">
        <v>1771</v>
      </c>
      <c r="AF17" s="564"/>
      <c r="AG17" s="564"/>
      <c r="AH17" s="564"/>
      <c r="AI17" s="564"/>
      <c r="AL17" s="564"/>
      <c r="AM17" s="564"/>
      <c r="AN17" s="564"/>
      <c r="AO17" s="564"/>
      <c r="BE17" s="719"/>
      <c r="BF17" s="719"/>
      <c r="BG17" s="719"/>
      <c r="BH17" s="719"/>
      <c r="BI17" s="719"/>
      <c r="BJ17" s="719"/>
      <c r="BK17" s="719"/>
    </row>
    <row r="18" spans="2:63" s="513" customFormat="1" ht="12.75">
      <c r="B18" s="3235" t="s">
        <v>1772</v>
      </c>
      <c r="C18" s="3235"/>
      <c r="D18" s="3235"/>
      <c r="E18" s="570"/>
      <c r="F18" s="570"/>
      <c r="H18" s="570"/>
      <c r="I18" s="570"/>
      <c r="J18" s="570"/>
      <c r="K18" s="571"/>
      <c r="L18" s="570"/>
      <c r="M18" s="572"/>
      <c r="N18" s="571"/>
      <c r="O18" s="570"/>
      <c r="Q18" s="571"/>
      <c r="R18" s="571"/>
      <c r="S18" s="573"/>
      <c r="U18" s="574"/>
      <c r="V18" s="575"/>
      <c r="W18" s="571"/>
      <c r="X18" s="571"/>
      <c r="Z18" s="570"/>
      <c r="AA18" s="570"/>
      <c r="AB18" s="570"/>
      <c r="AC18" s="570"/>
      <c r="AD18" s="570"/>
      <c r="AE18" s="570"/>
      <c r="AF18" s="570"/>
      <c r="AG18" s="570"/>
      <c r="AH18" s="570"/>
      <c r="AI18" s="570"/>
      <c r="AM18" s="576"/>
      <c r="AQ18" s="515"/>
      <c r="BE18" s="719"/>
      <c r="BF18" s="719"/>
      <c r="BG18" s="719"/>
      <c r="BH18" s="719"/>
      <c r="BI18" s="719"/>
      <c r="BJ18" s="719"/>
      <c r="BK18" s="719"/>
    </row>
    <row r="19" spans="2:63" s="513" customFormat="1" ht="5.0999999999999996" customHeight="1">
      <c r="B19" s="577"/>
      <c r="C19" s="578"/>
      <c r="D19" s="578"/>
      <c r="E19" s="578"/>
      <c r="F19" s="578"/>
      <c r="H19" s="578"/>
      <c r="I19" s="578"/>
      <c r="J19" s="578"/>
      <c r="K19" s="579"/>
      <c r="L19" s="578"/>
      <c r="M19" s="580"/>
      <c r="N19" s="579"/>
      <c r="O19" s="578"/>
      <c r="Q19" s="581"/>
      <c r="R19" s="581"/>
      <c r="S19" s="582"/>
      <c r="T19" s="582"/>
      <c r="U19" s="583"/>
      <c r="V19" s="581"/>
      <c r="W19" s="581"/>
      <c r="X19" s="581"/>
      <c r="Z19" s="578"/>
      <c r="AA19" s="578"/>
      <c r="AB19" s="578"/>
      <c r="AC19" s="578"/>
      <c r="AD19" s="577"/>
      <c r="AE19" s="578"/>
      <c r="AF19" s="578"/>
      <c r="AG19" s="578"/>
      <c r="AH19" s="578"/>
      <c r="AI19" s="578"/>
      <c r="AL19" s="578"/>
      <c r="AM19" s="577"/>
      <c r="AN19" s="578"/>
      <c r="AQ19" s="515"/>
    </row>
    <row r="20" spans="2:63" s="513" customFormat="1">
      <c r="B20" s="584" t="s">
        <v>1773</v>
      </c>
      <c r="C20" s="578"/>
      <c r="D20" s="578"/>
      <c r="E20" s="578"/>
      <c r="F20" s="578"/>
      <c r="H20" s="578"/>
      <c r="I20" s="578"/>
      <c r="J20" s="578"/>
      <c r="K20" s="579"/>
      <c r="L20" s="578"/>
      <c r="M20" s="580"/>
      <c r="N20" s="579"/>
      <c r="O20" s="578"/>
      <c r="Q20" s="581"/>
      <c r="R20" s="581"/>
      <c r="S20" s="582"/>
      <c r="T20" s="582"/>
      <c r="U20" s="583"/>
      <c r="V20" s="581"/>
      <c r="W20" s="581"/>
      <c r="X20" s="581"/>
      <c r="Z20" s="578"/>
      <c r="AA20" s="578"/>
      <c r="AB20" s="578"/>
      <c r="AC20" s="578"/>
      <c r="AD20" s="577"/>
      <c r="AE20" s="578"/>
      <c r="AF20" s="578"/>
      <c r="AG20" s="578"/>
      <c r="AH20" s="578"/>
      <c r="AI20" s="578"/>
      <c r="AL20" s="578"/>
      <c r="AM20" s="577"/>
      <c r="AN20" s="578"/>
      <c r="AQ20" s="515"/>
    </row>
    <row r="21" spans="2:63" s="513" customFormat="1" ht="5.0999999999999996" customHeight="1">
      <c r="B21" s="577"/>
      <c r="C21" s="578"/>
      <c r="D21" s="578"/>
      <c r="E21" s="578"/>
      <c r="F21" s="578"/>
      <c r="H21" s="578"/>
      <c r="I21" s="578"/>
      <c r="J21" s="578"/>
      <c r="K21" s="579"/>
      <c r="L21" s="578"/>
      <c r="M21" s="580"/>
      <c r="N21" s="579"/>
      <c r="O21" s="578"/>
      <c r="Q21" s="581"/>
      <c r="R21" s="581"/>
      <c r="S21" s="582"/>
      <c r="T21" s="582"/>
      <c r="U21" s="583"/>
      <c r="V21" s="581"/>
      <c r="W21" s="581"/>
      <c r="X21" s="581"/>
      <c r="Z21" s="578"/>
      <c r="AA21" s="578"/>
      <c r="AB21" s="578"/>
      <c r="AC21" s="578"/>
      <c r="AD21" s="577"/>
      <c r="AE21" s="578"/>
      <c r="AF21" s="578"/>
      <c r="AG21" s="578"/>
      <c r="AH21" s="578"/>
      <c r="AI21" s="578"/>
      <c r="AL21" s="578"/>
      <c r="AM21" s="577"/>
      <c r="AN21" s="578"/>
      <c r="AQ21" s="515"/>
    </row>
    <row r="22" spans="2:63" s="521" customFormat="1" ht="12.75" customHeight="1">
      <c r="B22" s="585">
        <v>1</v>
      </c>
      <c r="C22" s="586" t="s">
        <v>1774</v>
      </c>
      <c r="D22" s="587">
        <v>38006</v>
      </c>
      <c r="E22" s="587">
        <v>43485</v>
      </c>
      <c r="F22" s="588">
        <f>(E22-D22)/365</f>
        <v>15.010958904109589</v>
      </c>
      <c r="H22" s="589" t="s">
        <v>1775</v>
      </c>
      <c r="I22" s="589" t="s">
        <v>1349</v>
      </c>
      <c r="J22" s="587">
        <v>43123</v>
      </c>
      <c r="K22" s="590">
        <v>18000000</v>
      </c>
      <c r="L22" s="591">
        <v>102.8073</v>
      </c>
      <c r="M22" s="592">
        <f>K22*L22/100</f>
        <v>18505314</v>
      </c>
      <c r="N22" s="590">
        <v>0</v>
      </c>
      <c r="O22" s="590">
        <f>M22+N22</f>
        <v>18505314</v>
      </c>
      <c r="Q22" s="3236" t="b">
        <f>S22&gt;$T$10</f>
        <v>0</v>
      </c>
      <c r="R22" s="3237"/>
      <c r="S22" s="3237"/>
      <c r="T22" s="3237"/>
      <c r="U22" s="3237"/>
      <c r="V22" s="3237"/>
      <c r="W22" s="3237"/>
      <c r="X22" s="3238"/>
      <c r="Z22" s="593">
        <f>K22</f>
        <v>18000000</v>
      </c>
      <c r="AA22" s="593">
        <f>O22</f>
        <v>18505314</v>
      </c>
      <c r="AB22" s="594">
        <f>AA22-AC22</f>
        <v>18284762.58563536</v>
      </c>
      <c r="AC22" s="594">
        <v>220551.41436464089</v>
      </c>
      <c r="AD22" s="595">
        <f>+IF(Z22&lt;&gt;0,E22-$V$10-1,0)</f>
        <v>203</v>
      </c>
      <c r="AE22" s="596">
        <v>6.923E-2</v>
      </c>
      <c r="AF22" s="597">
        <f>ROUND(PRICE($AM22,$E22,$AL22,$AE22,100,2,1),4)</f>
        <v>101.105</v>
      </c>
      <c r="AG22" s="598">
        <f>Z22*AF22/100</f>
        <v>18198900</v>
      </c>
      <c r="AH22" s="598"/>
      <c r="AI22" s="593">
        <f>AG22-AB22</f>
        <v>-85862.58563536033</v>
      </c>
      <c r="AJ22" s="593"/>
      <c r="AL22" s="599">
        <v>0.09</v>
      </c>
      <c r="AM22" s="600">
        <f>$V$10</f>
        <v>43281</v>
      </c>
      <c r="AN22" s="589">
        <f>AM22-J22</f>
        <v>158</v>
      </c>
      <c r="AO22" s="593">
        <f>K22*AL22*AN22/365</f>
        <v>701260.27397260279</v>
      </c>
      <c r="AP22" s="601"/>
      <c r="AQ22" s="602"/>
      <c r="AR22" s="601"/>
      <c r="AS22" s="601"/>
      <c r="AT22" s="601"/>
      <c r="AV22" s="603"/>
      <c r="AW22" s="604"/>
      <c r="AX22" s="525"/>
      <c r="AY22" s="605"/>
      <c r="AZ22" s="605"/>
      <c r="BA22" s="605"/>
      <c r="BC22" s="593">
        <f>IF(AM22&gt;=$V$10,AO22,0)</f>
        <v>701260.27397260279</v>
      </c>
      <c r="BE22" s="822">
        <f>$AE$22+1%</f>
        <v>7.9229999999999995E-2</v>
      </c>
      <c r="BF22" s="823">
        <f>(ROUND(1/(1+((BE22/365)*$AD$22)),6))*$Z$22</f>
        <v>17240310</v>
      </c>
      <c r="BG22" s="823">
        <f>$AG$22-BF22</f>
        <v>958590</v>
      </c>
      <c r="BH22" s="822">
        <f>$AE$22-1%</f>
        <v>5.9229999999999998E-2</v>
      </c>
      <c r="BI22" s="823">
        <f>(ROUND(1/(1+((BH22/365)*$AD$22)),6))*$Z$22</f>
        <v>17425962</v>
      </c>
      <c r="BJ22" s="823">
        <f>$AG$22-BI22</f>
        <v>772938</v>
      </c>
      <c r="BK22" s="823">
        <f>BG22+BJ22</f>
        <v>1731528</v>
      </c>
    </row>
    <row r="23" spans="2:63" s="521" customFormat="1">
      <c r="B23" s="606"/>
      <c r="C23" s="607"/>
      <c r="D23" s="608"/>
      <c r="E23" s="608"/>
      <c r="F23" s="609"/>
      <c r="H23" s="610"/>
      <c r="I23" s="610"/>
      <c r="J23" s="608"/>
      <c r="K23" s="611"/>
      <c r="L23" s="610"/>
      <c r="M23" s="612"/>
      <c r="N23" s="611"/>
      <c r="O23" s="613"/>
      <c r="Q23" s="614"/>
      <c r="R23" s="614"/>
      <c r="S23" s="615"/>
      <c r="T23" s="615"/>
      <c r="U23" s="616"/>
      <c r="V23" s="614"/>
      <c r="W23" s="614"/>
      <c r="X23" s="617"/>
      <c r="Z23" s="618"/>
      <c r="AA23" s="618"/>
      <c r="AB23" s="618"/>
      <c r="AC23" s="618"/>
      <c r="AD23" s="618"/>
      <c r="AE23" s="618"/>
      <c r="AF23" s="618"/>
      <c r="AG23" s="618"/>
      <c r="AH23" s="618"/>
      <c r="AI23" s="618"/>
      <c r="AL23" s="619"/>
      <c r="AM23" s="608"/>
      <c r="AN23" s="610"/>
      <c r="AO23" s="620"/>
      <c r="AP23" s="601"/>
      <c r="AQ23" s="602"/>
      <c r="AR23" s="601"/>
      <c r="AS23" s="601"/>
      <c r="AT23" s="601"/>
      <c r="AV23" s="603"/>
      <c r="AW23" s="620"/>
      <c r="AX23" s="525"/>
      <c r="BC23" s="621"/>
    </row>
    <row r="24" spans="2:63" s="622" customFormat="1">
      <c r="C24" s="623"/>
      <c r="D24" s="624"/>
      <c r="E24" s="624"/>
      <c r="F24" s="625"/>
      <c r="H24" s="626"/>
      <c r="I24" s="626"/>
      <c r="J24" s="624"/>
      <c r="K24" s="627">
        <f>SUM(K22:K23)</f>
        <v>18000000</v>
      </c>
      <c r="L24" s="628"/>
      <c r="M24" s="627">
        <f>SUM(M22:M23)</f>
        <v>18505314</v>
      </c>
      <c r="N24" s="629"/>
      <c r="O24" s="629">
        <f>SUM(O22:O23)</f>
        <v>18505314</v>
      </c>
      <c r="Q24" s="627"/>
      <c r="R24" s="629"/>
      <c r="S24" s="630"/>
      <c r="T24" s="630"/>
      <c r="U24" s="631"/>
      <c r="V24" s="629"/>
      <c r="W24" s="629"/>
      <c r="X24" s="632"/>
      <c r="Z24" s="618"/>
      <c r="AA24" s="618"/>
      <c r="AB24" s="618"/>
      <c r="AC24" s="618"/>
      <c r="AD24" s="618"/>
      <c r="AE24" s="618"/>
      <c r="AF24" s="618"/>
      <c r="AG24" s="633">
        <f>AG22</f>
        <v>18198900</v>
      </c>
      <c r="AH24" s="618"/>
      <c r="AI24" s="633">
        <f>AI22</f>
        <v>-85862.58563536033</v>
      </c>
      <c r="AL24" s="634"/>
      <c r="AM24" s="635"/>
      <c r="AN24" s="636"/>
      <c r="AO24" s="633">
        <f>AO22</f>
        <v>701260.27397260279</v>
      </c>
      <c r="AP24" s="637"/>
      <c r="AQ24" s="638"/>
      <c r="AR24" s="639"/>
      <c r="AS24" s="632"/>
      <c r="AT24" s="633"/>
      <c r="AU24" s="640"/>
      <c r="AV24" s="641"/>
      <c r="AX24" s="641"/>
      <c r="BC24" s="642"/>
      <c r="BK24" s="622">
        <f>'FRM tbills'!BG16</f>
        <v>8995</v>
      </c>
    </row>
    <row r="25" spans="2:63" s="513" customFormat="1" ht="5.0999999999999996" customHeight="1">
      <c r="B25" s="577"/>
      <c r="C25" s="578"/>
      <c r="D25" s="578"/>
      <c r="E25" s="578"/>
      <c r="F25" s="578"/>
      <c r="H25" s="578"/>
      <c r="I25" s="578"/>
      <c r="J25" s="578"/>
      <c r="K25" s="579"/>
      <c r="L25" s="578"/>
      <c r="M25" s="580"/>
      <c r="N25" s="579"/>
      <c r="O25" s="578"/>
      <c r="Q25" s="581"/>
      <c r="R25" s="581"/>
      <c r="S25" s="582"/>
      <c r="T25" s="582"/>
      <c r="U25" s="583"/>
      <c r="V25" s="581"/>
      <c r="W25" s="581"/>
      <c r="X25" s="643"/>
      <c r="Z25" s="578"/>
      <c r="AA25" s="579"/>
      <c r="AB25" s="578"/>
      <c r="AC25" s="578"/>
      <c r="AD25" s="644"/>
      <c r="AE25" s="578"/>
      <c r="AF25" s="578"/>
      <c r="AG25" s="578"/>
      <c r="AH25" s="578"/>
      <c r="AI25" s="645"/>
      <c r="AL25" s="577"/>
      <c r="AM25" s="577"/>
      <c r="AN25" s="578"/>
      <c r="AQ25" s="515"/>
      <c r="AX25" s="525"/>
      <c r="BC25" s="646"/>
    </row>
    <row r="26" spans="2:63" s="513" customFormat="1" hidden="1">
      <c r="B26" s="3235" t="s">
        <v>848</v>
      </c>
      <c r="C26" s="3235"/>
      <c r="D26" s="3235"/>
      <c r="E26" s="570"/>
      <c r="F26" s="570"/>
      <c r="H26" s="570"/>
      <c r="I26" s="570"/>
      <c r="J26" s="570"/>
      <c r="K26" s="571"/>
      <c r="L26" s="570"/>
      <c r="M26" s="572"/>
      <c r="N26" s="571"/>
      <c r="O26" s="570"/>
      <c r="Q26" s="571"/>
      <c r="R26" s="571"/>
      <c r="S26" s="647"/>
      <c r="T26" s="647"/>
      <c r="U26" s="648"/>
      <c r="V26" s="571"/>
      <c r="W26" s="571"/>
      <c r="X26" s="649"/>
      <c r="Z26" s="570"/>
      <c r="AA26" s="571"/>
      <c r="AB26" s="570"/>
      <c r="AC26" s="570"/>
      <c r="AD26" s="650"/>
      <c r="AE26" s="570"/>
      <c r="AF26" s="651"/>
      <c r="AG26" s="652"/>
      <c r="AH26" s="652"/>
      <c r="AI26" s="652"/>
      <c r="AJ26" s="651"/>
      <c r="AK26" s="651"/>
      <c r="AL26" s="570"/>
      <c r="AM26" s="570"/>
      <c r="AN26" s="570"/>
      <c r="AO26" s="570"/>
      <c r="AQ26" s="515"/>
      <c r="AX26" s="525"/>
      <c r="BC26" s="646"/>
    </row>
    <row r="27" spans="2:63" s="513" customFormat="1" ht="5.0999999999999996" hidden="1" customHeight="1">
      <c r="B27" s="570"/>
      <c r="C27" s="570"/>
      <c r="D27" s="570"/>
      <c r="E27" s="570"/>
      <c r="F27" s="570"/>
      <c r="H27" s="570"/>
      <c r="I27" s="570"/>
      <c r="J27" s="570"/>
      <c r="K27" s="571"/>
      <c r="L27" s="570"/>
      <c r="M27" s="572"/>
      <c r="N27" s="571"/>
      <c r="O27" s="570"/>
      <c r="Q27" s="571"/>
      <c r="R27" s="571"/>
      <c r="S27" s="647"/>
      <c r="T27" s="647"/>
      <c r="U27" s="648"/>
      <c r="V27" s="571"/>
      <c r="W27" s="571"/>
      <c r="X27" s="649"/>
      <c r="Z27" s="570"/>
      <c r="AA27" s="571"/>
      <c r="AB27" s="570"/>
      <c r="AC27" s="570"/>
      <c r="AD27" s="650"/>
      <c r="AE27" s="570"/>
      <c r="AF27" s="571"/>
      <c r="AG27" s="571"/>
      <c r="AH27" s="571"/>
      <c r="AI27" s="571"/>
      <c r="AL27" s="570"/>
      <c r="AM27" s="570"/>
      <c r="AN27" s="570"/>
      <c r="AO27" s="570"/>
      <c r="AQ27" s="515"/>
      <c r="AX27" s="525"/>
      <c r="BC27" s="646"/>
    </row>
    <row r="28" spans="2:63" s="513" customFormat="1" hidden="1">
      <c r="B28" s="584" t="s">
        <v>1776</v>
      </c>
      <c r="C28" s="570"/>
      <c r="D28" s="570"/>
      <c r="E28" s="570"/>
      <c r="F28" s="570"/>
      <c r="H28" s="570"/>
      <c r="I28" s="570"/>
      <c r="J28" s="570"/>
      <c r="K28" s="571"/>
      <c r="L28" s="570"/>
      <c r="M28" s="572"/>
      <c r="N28" s="571"/>
      <c r="O28" s="570"/>
      <c r="Q28" s="571"/>
      <c r="R28" s="571"/>
      <c r="S28" s="647"/>
      <c r="T28" s="647"/>
      <c r="U28" s="648"/>
      <c r="V28" s="653"/>
      <c r="W28" s="571"/>
      <c r="X28" s="649"/>
      <c r="Z28" s="570"/>
      <c r="AA28" s="571"/>
      <c r="AB28" s="654"/>
      <c r="AC28" s="654"/>
      <c r="AD28" s="650"/>
      <c r="AE28" s="570"/>
      <c r="AF28" s="654"/>
      <c r="AG28" s="571"/>
      <c r="AH28" s="571"/>
      <c r="AI28" s="571"/>
      <c r="AL28" s="570"/>
      <c r="AM28" s="570"/>
      <c r="AN28" s="570"/>
      <c r="AO28" s="570"/>
      <c r="AQ28" s="515"/>
      <c r="AX28" s="525"/>
      <c r="BC28" s="646"/>
    </row>
    <row r="29" spans="2:63" s="513" customFormat="1" ht="5.0999999999999996" hidden="1" customHeight="1">
      <c r="B29" s="570"/>
      <c r="C29" s="570"/>
      <c r="D29" s="570"/>
      <c r="E29" s="570"/>
      <c r="F29" s="570"/>
      <c r="H29" s="570"/>
      <c r="I29" s="570"/>
      <c r="J29" s="570"/>
      <c r="K29" s="571"/>
      <c r="L29" s="570"/>
      <c r="M29" s="572"/>
      <c r="N29" s="571"/>
      <c r="O29" s="570"/>
      <c r="Q29" s="571"/>
      <c r="R29" s="571"/>
      <c r="S29" s="647"/>
      <c r="T29" s="647"/>
      <c r="U29" s="648"/>
      <c r="V29" s="571"/>
      <c r="W29" s="571"/>
      <c r="X29" s="649"/>
      <c r="Z29" s="570"/>
      <c r="AA29" s="571"/>
      <c r="AB29" s="570"/>
      <c r="AC29" s="570"/>
      <c r="AD29" s="650"/>
      <c r="AE29" s="570"/>
      <c r="AF29" s="570"/>
      <c r="AG29" s="570"/>
      <c r="AH29" s="570"/>
      <c r="AI29" s="570"/>
      <c r="AL29" s="570"/>
      <c r="AM29" s="570"/>
      <c r="AN29" s="570"/>
      <c r="AO29" s="570"/>
      <c r="AQ29" s="515"/>
      <c r="AX29" s="525"/>
      <c r="BC29" s="646"/>
    </row>
    <row r="30" spans="2:63" s="521" customFormat="1" ht="12.75" hidden="1" customHeight="1">
      <c r="B30" s="655">
        <v>1</v>
      </c>
      <c r="C30" s="586" t="s">
        <v>1774</v>
      </c>
      <c r="D30" s="587">
        <v>42089</v>
      </c>
      <c r="E30" s="587">
        <v>43916</v>
      </c>
      <c r="F30" s="588">
        <f>(E30-D30)/365</f>
        <v>5.0054794520547947</v>
      </c>
      <c r="H30" s="589" t="s">
        <v>1777</v>
      </c>
      <c r="I30" s="589" t="s">
        <v>1347</v>
      </c>
      <c r="J30" s="587">
        <v>42257</v>
      </c>
      <c r="K30" s="590">
        <v>400000</v>
      </c>
      <c r="L30" s="591">
        <v>106.9722</v>
      </c>
      <c r="M30" s="592">
        <f>K30*L30/100</f>
        <v>427888.8</v>
      </c>
      <c r="N30" s="590">
        <v>0</v>
      </c>
      <c r="O30" s="590">
        <f>M30+N30</f>
        <v>427888.8</v>
      </c>
      <c r="Q30" s="656"/>
      <c r="R30" s="656"/>
      <c r="S30" s="657"/>
      <c r="T30" s="657" t="b">
        <f>S30&gt;$T$10</f>
        <v>0</v>
      </c>
      <c r="U30" s="658"/>
      <c r="V30" s="590"/>
      <c r="W30" s="590"/>
      <c r="X30" s="659"/>
      <c r="Z30" s="593">
        <f>K30</f>
        <v>400000</v>
      </c>
      <c r="AA30" s="660">
        <f>(O30/K30)*Z30</f>
        <v>427888.80000000005</v>
      </c>
      <c r="AB30" s="594">
        <f>AA30+AC30</f>
        <v>431162.57938517182</v>
      </c>
      <c r="AC30" s="594">
        <v>3273.7793851717906</v>
      </c>
      <c r="AD30" s="661">
        <f>E30-V10</f>
        <v>635</v>
      </c>
      <c r="AE30" s="596">
        <v>7.7601095890410962E-2</v>
      </c>
      <c r="AF30" s="597">
        <f>ROUND(PRICE(AM30,E30,AL30,AE30,100,2,1),4)</f>
        <v>102.35899999999999</v>
      </c>
      <c r="AG30" s="598">
        <f>Z30*AF30/100</f>
        <v>409436</v>
      </c>
      <c r="AH30" s="598"/>
      <c r="AI30" s="593">
        <f>(AG30-AA30)</f>
        <v>-18452.800000000047</v>
      </c>
      <c r="AJ30" s="605"/>
      <c r="AL30" s="599">
        <v>9.2499999999999999E-2</v>
      </c>
      <c r="AM30" s="600">
        <f>V10</f>
        <v>43281</v>
      </c>
      <c r="AN30" s="662">
        <f>-T10+AM30</f>
        <v>365</v>
      </c>
      <c r="AO30" s="593">
        <f>+K30*AL30*AN30/365</f>
        <v>37000</v>
      </c>
      <c r="AQ30" s="602"/>
      <c r="AR30" s="587">
        <v>42455</v>
      </c>
      <c r="AS30" s="659">
        <f>V10-AR30</f>
        <v>826</v>
      </c>
      <c r="AT30" s="663">
        <f>AS30*AL30*Z30/365</f>
        <v>83731.506849315076</v>
      </c>
      <c r="AV30" s="603"/>
      <c r="AW30" s="604"/>
      <c r="AX30" s="525"/>
      <c r="AY30" s="593">
        <f>AB30</f>
        <v>431162.57938517182</v>
      </c>
      <c r="AZ30" s="593">
        <f>AI30</f>
        <v>-18452.800000000047</v>
      </c>
      <c r="BA30" s="663">
        <f>IFERROR(IF((AZ30/AY30)&lt;-0.2,AZ30,0),0)</f>
        <v>0</v>
      </c>
      <c r="BC30" s="593">
        <f>IF(AM30&gt;=$V$10,AO30,0)</f>
        <v>37000</v>
      </c>
    </row>
    <row r="31" spans="2:63" s="521" customFormat="1" ht="12.75" hidden="1" customHeight="1">
      <c r="B31" s="655">
        <v>2</v>
      </c>
      <c r="C31" s="586" t="s">
        <v>1774</v>
      </c>
      <c r="D31" s="587">
        <v>41473</v>
      </c>
      <c r="E31" s="587">
        <v>43299</v>
      </c>
      <c r="F31" s="588">
        <f>(E31-D31)/365</f>
        <v>5.0027397260273974</v>
      </c>
      <c r="H31" s="589" t="s">
        <v>1778</v>
      </c>
      <c r="I31" s="589" t="s">
        <v>1347</v>
      </c>
      <c r="J31" s="587">
        <v>42570</v>
      </c>
      <c r="K31" s="590">
        <v>400000</v>
      </c>
      <c r="L31" s="591">
        <v>105.4435</v>
      </c>
      <c r="M31" s="592">
        <f>K31*L31/100</f>
        <v>421774</v>
      </c>
      <c r="N31" s="590">
        <v>0</v>
      </c>
      <c r="O31" s="590">
        <f>M31+N31</f>
        <v>421774</v>
      </c>
      <c r="Q31" s="656">
        <v>400000</v>
      </c>
      <c r="R31" s="656" t="s">
        <v>1779</v>
      </c>
      <c r="S31" s="657">
        <v>43112</v>
      </c>
      <c r="T31" s="657" t="b">
        <f>S31&gt;$T$10</f>
        <v>1</v>
      </c>
      <c r="U31" s="658">
        <v>102.7478</v>
      </c>
      <c r="V31" s="590">
        <f>Q31*U31/100</f>
        <v>410991.2</v>
      </c>
      <c r="W31" s="590"/>
      <c r="X31" s="659">
        <f>((U31-L31)*Q31)/100</f>
        <v>-10782.80000000001</v>
      </c>
      <c r="Z31" s="593"/>
      <c r="AA31" s="598"/>
      <c r="AB31" s="664"/>
      <c r="AC31" s="598"/>
      <c r="AD31" s="598"/>
      <c r="AE31" s="665"/>
      <c r="AF31" s="597"/>
      <c r="AG31" s="598"/>
      <c r="AH31" s="598"/>
      <c r="AI31" s="593"/>
      <c r="AJ31" s="605"/>
      <c r="AL31" s="599">
        <v>0.115</v>
      </c>
      <c r="AM31" s="600">
        <f>IF(S31&lt;$V$10,S31,$V$10)</f>
        <v>43112</v>
      </c>
      <c r="AN31" s="662">
        <f>-T10+AM31</f>
        <v>196</v>
      </c>
      <c r="AO31" s="593">
        <f>+K31*AL31*AN31/365</f>
        <v>24701.369863013697</v>
      </c>
      <c r="AQ31" s="602"/>
      <c r="AR31" s="666">
        <v>0</v>
      </c>
      <c r="AS31" s="659">
        <v>0</v>
      </c>
      <c r="AT31" s="663">
        <v>0</v>
      </c>
      <c r="AV31" s="603"/>
      <c r="AW31" s="604"/>
      <c r="AX31" s="525"/>
      <c r="AY31" s="593"/>
      <c r="AZ31" s="593"/>
      <c r="BA31" s="663">
        <f>IFERROR(IF((AI31/AC31)&lt;-0.2,AI31,0),0)</f>
        <v>0</v>
      </c>
      <c r="BC31" s="593">
        <f>IF(AM31&gt;=$V$10,AO31,0)</f>
        <v>0</v>
      </c>
    </row>
    <row r="32" spans="2:63" s="521" customFormat="1" ht="12.75" hidden="1" customHeight="1">
      <c r="B32" s="655">
        <v>3</v>
      </c>
      <c r="C32" s="586" t="s">
        <v>1774</v>
      </c>
      <c r="D32" s="587">
        <v>38006</v>
      </c>
      <c r="E32" s="587">
        <v>43485</v>
      </c>
      <c r="F32" s="588">
        <f>(E32-D32)/365</f>
        <v>15.010958904109589</v>
      </c>
      <c r="H32" s="589" t="s">
        <v>1780</v>
      </c>
      <c r="I32" s="589" t="s">
        <v>1347</v>
      </c>
      <c r="J32" s="587">
        <v>42219</v>
      </c>
      <c r="K32" s="590">
        <v>18000000</v>
      </c>
      <c r="L32" s="591">
        <v>104.15600000000001</v>
      </c>
      <c r="M32" s="592">
        <f>K32*L32/100</f>
        <v>18748080</v>
      </c>
      <c r="N32" s="590">
        <v>0</v>
      </c>
      <c r="O32" s="590">
        <f>M32+N32</f>
        <v>18748080</v>
      </c>
      <c r="Q32" s="656">
        <f>K32</f>
        <v>18000000</v>
      </c>
      <c r="R32" s="656" t="s">
        <v>1781</v>
      </c>
      <c r="S32" s="657">
        <v>43116</v>
      </c>
      <c r="T32" s="657" t="b">
        <f>S32&gt;$T$10</f>
        <v>1</v>
      </c>
      <c r="U32" s="658">
        <v>102.8497</v>
      </c>
      <c r="V32" s="590">
        <f>Q32*U32/100</f>
        <v>18512946</v>
      </c>
      <c r="W32" s="590"/>
      <c r="X32" s="659">
        <f>((U32-L32)*Q32)/100</f>
        <v>-235134.00000000131</v>
      </c>
      <c r="Z32" s="593"/>
      <c r="AA32" s="598"/>
      <c r="AB32" s="664"/>
      <c r="AC32" s="598"/>
      <c r="AD32" s="598"/>
      <c r="AE32" s="665"/>
      <c r="AF32" s="597"/>
      <c r="AG32" s="598"/>
      <c r="AH32" s="598"/>
      <c r="AI32" s="593"/>
      <c r="AJ32" s="605"/>
      <c r="AL32" s="599">
        <v>0.09</v>
      </c>
      <c r="AM32" s="600">
        <f>IF(S32&lt;$V$10,S32,$V$10)</f>
        <v>43116</v>
      </c>
      <c r="AN32" s="662">
        <f>-T10+AM32</f>
        <v>200</v>
      </c>
      <c r="AO32" s="593">
        <f>+K32*AL32*AN32/365</f>
        <v>887671.23287671234</v>
      </c>
      <c r="AQ32" s="602"/>
      <c r="AR32" s="666">
        <v>0</v>
      </c>
      <c r="AS32" s="659">
        <v>0</v>
      </c>
      <c r="AT32" s="663">
        <v>0</v>
      </c>
      <c r="AV32" s="603" t="e">
        <f>#REF!</f>
        <v>#REF!</v>
      </c>
      <c r="AW32" s="656" t="e">
        <f>(ROUND(PRICE($AM32,$E32,$AL32,$AV32,100,2,1),4))*Q32/100</f>
        <v>#REF!</v>
      </c>
      <c r="AX32" s="525" t="e">
        <f>AW32-O32</f>
        <v>#REF!</v>
      </c>
      <c r="AY32" s="593"/>
      <c r="AZ32" s="593"/>
      <c r="BA32" s="663">
        <f>IFERROR(IF((AI32/AC32)&lt;-0.2,AI32,0),0)</f>
        <v>0</v>
      </c>
      <c r="BC32" s="593">
        <f>IF(AM32&gt;=$V$10,AO32,0)</f>
        <v>0</v>
      </c>
    </row>
    <row r="33" spans="2:63" s="521" customFormat="1" ht="5.0999999999999996" hidden="1" customHeight="1">
      <c r="B33" s="606"/>
      <c r="C33" s="607"/>
      <c r="D33" s="608"/>
      <c r="E33" s="608"/>
      <c r="F33" s="667"/>
      <c r="H33" s="668"/>
      <c r="I33" s="610"/>
      <c r="J33" s="608"/>
      <c r="K33" s="614"/>
      <c r="L33" s="669"/>
      <c r="M33" s="670"/>
      <c r="N33" s="671"/>
      <c r="O33" s="669"/>
      <c r="Q33" s="672"/>
      <c r="R33" s="672"/>
      <c r="S33" s="673"/>
      <c r="T33" s="673"/>
      <c r="U33" s="674"/>
      <c r="V33" s="672"/>
      <c r="W33" s="672"/>
      <c r="X33" s="617"/>
      <c r="Z33" s="672"/>
      <c r="AA33" s="672"/>
      <c r="AB33" s="672"/>
      <c r="AC33" s="672"/>
      <c r="AD33" s="675"/>
      <c r="AE33" s="676"/>
      <c r="AF33" s="677"/>
      <c r="AG33" s="678"/>
      <c r="AH33" s="678"/>
      <c r="AI33" s="678"/>
      <c r="AL33" s="679"/>
      <c r="AM33" s="680"/>
      <c r="AN33" s="681"/>
      <c r="AO33" s="671"/>
      <c r="AQ33" s="602"/>
      <c r="AT33" s="621"/>
      <c r="AX33" s="525"/>
      <c r="AY33" s="621"/>
      <c r="AZ33" s="621"/>
      <c r="BC33" s="621"/>
    </row>
    <row r="34" spans="2:63" s="521" customFormat="1" hidden="1">
      <c r="B34" s="682"/>
      <c r="F34" s="601"/>
      <c r="K34" s="683">
        <f>SUM(K30:K32)</f>
        <v>18800000</v>
      </c>
      <c r="M34" s="684"/>
      <c r="N34" s="621"/>
      <c r="O34" s="684">
        <f>SUM(O30:O32)</f>
        <v>19597742.800000001</v>
      </c>
      <c r="Q34" s="683">
        <f>SUM(Q30:Q32)</f>
        <v>18400000</v>
      </c>
      <c r="R34" s="685"/>
      <c r="S34" s="686"/>
      <c r="T34" s="686"/>
      <c r="U34" s="687"/>
      <c r="V34" s="688">
        <f>SUM(V31:V33)</f>
        <v>18923937.199999999</v>
      </c>
      <c r="W34" s="685"/>
      <c r="X34" s="683"/>
      <c r="Z34" s="611"/>
      <c r="AA34" s="611"/>
      <c r="AB34" s="611"/>
      <c r="AC34" s="611"/>
      <c r="AD34" s="689"/>
      <c r="AE34" s="690"/>
      <c r="AF34" s="691"/>
      <c r="AG34" s="692"/>
      <c r="AH34" s="692"/>
      <c r="AI34" s="692"/>
      <c r="AL34" s="601"/>
      <c r="AM34" s="601"/>
      <c r="AO34" s="621"/>
      <c r="AQ34" s="602"/>
      <c r="AT34" s="621"/>
      <c r="AX34" s="525"/>
      <c r="AY34" s="621"/>
      <c r="AZ34" s="621"/>
      <c r="BC34" s="621"/>
    </row>
    <row r="35" spans="2:63" s="521" customFormat="1" ht="5.0999999999999996" hidden="1" customHeight="1">
      <c r="B35" s="606"/>
      <c r="C35" s="606"/>
      <c r="D35" s="606"/>
      <c r="E35" s="606"/>
      <c r="F35" s="606"/>
      <c r="H35" s="606"/>
      <c r="I35" s="606"/>
      <c r="J35" s="606"/>
      <c r="K35" s="693"/>
      <c r="L35" s="606"/>
      <c r="M35" s="694"/>
      <c r="N35" s="693"/>
      <c r="O35" s="606"/>
      <c r="Q35" s="693"/>
      <c r="R35" s="693"/>
      <c r="S35" s="695"/>
      <c r="T35" s="695"/>
      <c r="U35" s="696"/>
      <c r="V35" s="693"/>
      <c r="W35" s="693"/>
      <c r="X35" s="697"/>
      <c r="Z35" s="698"/>
      <c r="AA35" s="698"/>
      <c r="AB35" s="698"/>
      <c r="AC35" s="698"/>
      <c r="AD35" s="699"/>
      <c r="AE35" s="700"/>
      <c r="AF35" s="701"/>
      <c r="AG35" s="606"/>
      <c r="AH35" s="606"/>
      <c r="AI35" s="606"/>
      <c r="AL35" s="606"/>
      <c r="AM35" s="606"/>
      <c r="AN35" s="606"/>
      <c r="AO35" s="693"/>
      <c r="AQ35" s="602"/>
      <c r="AT35" s="621"/>
      <c r="AX35" s="525"/>
      <c r="AY35" s="621"/>
      <c r="AZ35" s="621"/>
      <c r="BC35" s="621"/>
    </row>
    <row r="36" spans="2:63" s="521" customFormat="1" hidden="1">
      <c r="B36" s="584" t="s">
        <v>865</v>
      </c>
      <c r="C36" s="606"/>
      <c r="D36" s="606"/>
      <c r="E36" s="606"/>
      <c r="F36" s="606"/>
      <c r="H36" s="606"/>
      <c r="I36" s="606"/>
      <c r="J36" s="606"/>
      <c r="K36" s="693"/>
      <c r="L36" s="606"/>
      <c r="M36" s="694"/>
      <c r="N36" s="693"/>
      <c r="O36" s="606"/>
      <c r="Q36" s="693"/>
      <c r="R36" s="693"/>
      <c r="S36" s="695"/>
      <c r="T36" s="695"/>
      <c r="U36" s="696"/>
      <c r="V36" s="693"/>
      <c r="W36" s="693"/>
      <c r="X36" s="697"/>
      <c r="Z36" s="698"/>
      <c r="AA36" s="698"/>
      <c r="AB36" s="698"/>
      <c r="AC36" s="698"/>
      <c r="AD36" s="699"/>
      <c r="AE36" s="700"/>
      <c r="AF36" s="701"/>
      <c r="AG36" s="606"/>
      <c r="AH36" s="606"/>
      <c r="AI36" s="606"/>
      <c r="AL36" s="606"/>
      <c r="AM36" s="606"/>
      <c r="AN36" s="606"/>
      <c r="AO36" s="693"/>
      <c r="AQ36" s="602"/>
      <c r="AT36" s="621"/>
      <c r="AX36" s="525"/>
      <c r="AY36" s="621"/>
      <c r="AZ36" s="621"/>
      <c r="BC36" s="621"/>
    </row>
    <row r="37" spans="2:63" s="521" customFormat="1" ht="6" hidden="1" customHeight="1">
      <c r="B37" s="606"/>
      <c r="C37" s="606"/>
      <c r="D37" s="606"/>
      <c r="E37" s="606"/>
      <c r="F37" s="606"/>
      <c r="H37" s="606"/>
      <c r="I37" s="606"/>
      <c r="J37" s="606"/>
      <c r="K37" s="693"/>
      <c r="L37" s="606"/>
      <c r="M37" s="694"/>
      <c r="N37" s="693"/>
      <c r="O37" s="606"/>
      <c r="Q37" s="693"/>
      <c r="R37" s="693"/>
      <c r="S37" s="695"/>
      <c r="T37" s="695"/>
      <c r="U37" s="696"/>
      <c r="V37" s="693"/>
      <c r="W37" s="693"/>
      <c r="X37" s="697"/>
      <c r="Z37" s="698"/>
      <c r="AA37" s="698"/>
      <c r="AB37" s="698"/>
      <c r="AC37" s="698"/>
      <c r="AD37" s="699"/>
      <c r="AE37" s="700"/>
      <c r="AF37" s="701"/>
      <c r="AG37" s="606"/>
      <c r="AH37" s="606"/>
      <c r="AI37" s="606"/>
      <c r="AL37" s="606"/>
      <c r="AM37" s="606"/>
      <c r="AN37" s="606"/>
      <c r="AO37" s="693"/>
      <c r="AQ37" s="602"/>
      <c r="AT37" s="621"/>
      <c r="AX37" s="525"/>
      <c r="AY37" s="621"/>
      <c r="AZ37" s="621"/>
      <c r="BC37" s="621"/>
    </row>
    <row r="38" spans="2:63" s="521" customFormat="1" hidden="1">
      <c r="B38" s="702">
        <v>1</v>
      </c>
      <c r="C38" s="586" t="s">
        <v>1774</v>
      </c>
      <c r="D38" s="587">
        <v>41473</v>
      </c>
      <c r="E38" s="587">
        <v>43299</v>
      </c>
      <c r="F38" s="588">
        <f>(E38-D38)/365</f>
        <v>5.0027397260273974</v>
      </c>
      <c r="H38" s="589" t="s">
        <v>1782</v>
      </c>
      <c r="I38" s="589" t="s">
        <v>1347</v>
      </c>
      <c r="J38" s="587">
        <v>43119</v>
      </c>
      <c r="K38" s="590">
        <v>400000</v>
      </c>
      <c r="L38" s="591">
        <v>102.65470000000001</v>
      </c>
      <c r="M38" s="592">
        <f>K38*L38/100</f>
        <v>410618.8</v>
      </c>
      <c r="N38" s="590">
        <v>0</v>
      </c>
      <c r="O38" s="590">
        <f>M38+N38</f>
        <v>410618.8</v>
      </c>
      <c r="Q38" s="656"/>
      <c r="R38" s="656"/>
      <c r="S38" s="657"/>
      <c r="T38" s="657" t="b">
        <f>S38&gt;$T$10</f>
        <v>0</v>
      </c>
      <c r="U38" s="658"/>
      <c r="V38" s="590"/>
      <c r="W38" s="590"/>
      <c r="X38" s="659"/>
      <c r="Z38" s="593">
        <f>K38</f>
        <v>400000</v>
      </c>
      <c r="AA38" s="660">
        <f>(O38/K38)*Z38</f>
        <v>410618.79999999993</v>
      </c>
      <c r="AB38" s="594">
        <f>AA38+AC38</f>
        <v>420175.71999999991</v>
      </c>
      <c r="AC38" s="594">
        <v>9556.9199999999892</v>
      </c>
      <c r="AD38" s="595">
        <f>+IF(Z38&lt;&gt;0,E38-$V$10-1,0)</f>
        <v>17</v>
      </c>
      <c r="AE38" s="596">
        <v>6.7426666666666663E-2</v>
      </c>
      <c r="AF38" s="597">
        <f>ROUND(PRICE(AM38,E38,AL38,AE38,100,2,1),4)</f>
        <v>100.21850000000001</v>
      </c>
      <c r="AG38" s="598">
        <f>Z38*AF38/100</f>
        <v>400874</v>
      </c>
      <c r="AH38" s="598"/>
      <c r="AI38" s="593">
        <f>AG38-AA38</f>
        <v>-9744.7999999999302</v>
      </c>
      <c r="AJ38" s="605"/>
      <c r="AL38" s="599">
        <v>0.115</v>
      </c>
      <c r="AM38" s="600">
        <f>$V$10</f>
        <v>43281</v>
      </c>
      <c r="AN38" s="589">
        <f>AM38-J38</f>
        <v>162</v>
      </c>
      <c r="AO38" s="593">
        <f>K38*AL38*AN38/365</f>
        <v>20416.438356164384</v>
      </c>
      <c r="AQ38" s="602"/>
      <c r="AR38" s="587">
        <f>J38</f>
        <v>43119</v>
      </c>
      <c r="AS38" s="659">
        <f>$V$10-AR38</f>
        <v>162</v>
      </c>
      <c r="AT38" s="663">
        <f>AS38*AL38*Z38/365</f>
        <v>20416.438356164384</v>
      </c>
      <c r="AV38" s="603"/>
      <c r="AW38" s="604"/>
      <c r="AX38" s="525"/>
      <c r="AY38" s="593">
        <f>AB38</f>
        <v>420175.71999999991</v>
      </c>
      <c r="AZ38" s="593">
        <f>AI38</f>
        <v>-9744.7999999999302</v>
      </c>
      <c r="BA38" s="663">
        <f>IFERROR(IF((AZ38/AY38)&lt;-0.2,AZ38,0),0)</f>
        <v>0</v>
      </c>
      <c r="BC38" s="593">
        <f>IF(AM38&gt;=$V$10,AO38,0)</f>
        <v>20416.438356164384</v>
      </c>
    </row>
    <row r="39" spans="2:63" s="521" customFormat="1" ht="5.25" hidden="1" customHeight="1">
      <c r="B39" s="637"/>
      <c r="AQ39" s="602"/>
      <c r="AR39" s="587"/>
      <c r="AS39" s="659"/>
      <c r="AT39" s="663"/>
      <c r="AV39" s="603"/>
      <c r="AW39" s="604"/>
      <c r="AX39" s="525"/>
      <c r="BC39" s="621"/>
    </row>
    <row r="40" spans="2:63" s="521" customFormat="1" hidden="1">
      <c r="B40" s="606"/>
      <c r="C40" s="606"/>
      <c r="D40" s="606"/>
      <c r="E40" s="606"/>
      <c r="F40" s="606"/>
      <c r="H40" s="606"/>
      <c r="I40" s="606"/>
      <c r="J40" s="606"/>
      <c r="K40" s="693">
        <f>K38</f>
        <v>400000</v>
      </c>
      <c r="L40" s="606"/>
      <c r="M40" s="703"/>
      <c r="N40" s="693"/>
      <c r="O40" s="693">
        <f>O38</f>
        <v>410618.8</v>
      </c>
      <c r="Q40" s="693"/>
      <c r="R40" s="693"/>
      <c r="S40" s="695"/>
      <c r="T40" s="695"/>
      <c r="U40" s="696"/>
      <c r="V40" s="693"/>
      <c r="W40" s="693"/>
      <c r="X40" s="703">
        <f>SUM(X23:X32)</f>
        <v>-245916.80000000133</v>
      </c>
      <c r="Z40" s="698"/>
      <c r="AA40" s="698"/>
      <c r="AB40" s="698"/>
      <c r="AC40" s="698"/>
      <c r="AD40" s="699"/>
      <c r="AE40" s="700"/>
      <c r="AF40" s="701"/>
      <c r="AG40" s="606"/>
      <c r="AH40" s="606"/>
      <c r="AI40" s="704">
        <f>SUM(AI30:AI39)</f>
        <v>-28197.599999999977</v>
      </c>
      <c r="AL40" s="606"/>
      <c r="AM40" s="606"/>
      <c r="AN40" s="606"/>
      <c r="AO40" s="704">
        <f>SUM(AO30:AO39)</f>
        <v>969789.04109589045</v>
      </c>
      <c r="AQ40" s="602"/>
      <c r="AT40" s="621"/>
      <c r="AX40" s="525"/>
      <c r="BB40" s="521" t="s">
        <v>1783</v>
      </c>
      <c r="BC40" s="684">
        <f>SUM(BC22:BC38)</f>
        <v>758676.71232876717</v>
      </c>
    </row>
    <row r="41" spans="2:63" s="521" customFormat="1">
      <c r="B41" s="606"/>
      <c r="C41" s="606"/>
      <c r="D41" s="606"/>
      <c r="E41" s="606"/>
      <c r="F41" s="606"/>
      <c r="H41" s="606"/>
      <c r="I41" s="606"/>
      <c r="J41" s="606"/>
      <c r="K41" s="693"/>
      <c r="L41" s="606"/>
      <c r="M41" s="703"/>
      <c r="N41" s="693"/>
      <c r="O41" s="693"/>
      <c r="Q41" s="693"/>
      <c r="R41" s="693"/>
      <c r="S41" s="695"/>
      <c r="T41" s="695"/>
      <c r="U41" s="696"/>
      <c r="V41" s="693"/>
      <c r="W41" s="693"/>
      <c r="X41" s="703"/>
      <c r="Z41" s="698"/>
      <c r="AA41" s="698"/>
      <c r="AB41" s="698"/>
      <c r="AC41" s="698"/>
      <c r="AD41" s="699"/>
      <c r="AE41" s="700"/>
      <c r="AF41" s="701"/>
      <c r="AG41" s="606"/>
      <c r="AH41" s="606"/>
      <c r="AI41" s="704"/>
      <c r="AL41" s="606"/>
      <c r="AM41" s="606"/>
      <c r="AN41" s="606"/>
      <c r="AO41" s="704"/>
      <c r="AQ41" s="602"/>
      <c r="AT41" s="621"/>
      <c r="AX41" s="525"/>
      <c r="BK41" s="525">
        <f>BK22+BK24</f>
        <v>1740523</v>
      </c>
    </row>
    <row r="42" spans="2:63">
      <c r="B42" s="529" t="s">
        <v>1784</v>
      </c>
      <c r="D42" s="538"/>
      <c r="E42" s="538"/>
      <c r="AA42" s="509"/>
      <c r="BB42" s="516" t="s">
        <v>1785</v>
      </c>
      <c r="BC42" s="705">
        <v>755559</v>
      </c>
    </row>
    <row r="43" spans="2:63">
      <c r="B43" s="706" t="s">
        <v>1786</v>
      </c>
      <c r="D43" s="538"/>
      <c r="E43" s="538"/>
    </row>
    <row r="44" spans="2:63" s="513" customFormat="1" ht="12" thickBot="1">
      <c r="B44" s="707" t="s">
        <v>1787</v>
      </c>
      <c r="K44" s="646"/>
      <c r="M44" s="708"/>
      <c r="N44" s="646"/>
      <c r="Q44" s="709"/>
      <c r="R44" s="709"/>
      <c r="S44" s="710"/>
      <c r="T44" s="710"/>
      <c r="U44" s="711"/>
      <c r="V44" s="709"/>
      <c r="W44" s="709"/>
      <c r="X44" s="709"/>
      <c r="AD44" s="576"/>
      <c r="AI44" s="712"/>
      <c r="AM44" s="576"/>
      <c r="AQ44" s="515"/>
      <c r="BB44" s="513" t="s">
        <v>1704</v>
      </c>
      <c r="BC44" s="713">
        <f>BC40-BC42</f>
        <v>3117.7123287671711</v>
      </c>
      <c r="BD44" s="714" t="s">
        <v>1788</v>
      </c>
    </row>
    <row r="45" spans="2:63" s="513" customFormat="1">
      <c r="B45" s="707" t="s">
        <v>1789</v>
      </c>
      <c r="K45" s="646"/>
      <c r="M45" s="708"/>
      <c r="N45" s="646"/>
      <c r="Q45" s="709"/>
      <c r="R45" s="709"/>
      <c r="S45" s="710"/>
      <c r="T45" s="710"/>
      <c r="U45" s="711"/>
      <c r="V45" s="709"/>
      <c r="W45" s="709"/>
      <c r="X45" s="709"/>
      <c r="AD45" s="576"/>
      <c r="AM45" s="576"/>
      <c r="AQ45" s="515"/>
    </row>
    <row r="46" spans="2:63" s="513" customFormat="1">
      <c r="B46" s="707" t="s">
        <v>1790</v>
      </c>
      <c r="K46" s="646"/>
      <c r="M46" s="708"/>
      <c r="N46" s="646"/>
      <c r="Q46" s="709"/>
      <c r="R46" s="709"/>
      <c r="S46" s="710"/>
      <c r="T46" s="710"/>
      <c r="U46" s="711"/>
      <c r="V46" s="709"/>
      <c r="W46" s="709"/>
      <c r="X46" s="709"/>
      <c r="AD46" s="576"/>
      <c r="AM46" s="576"/>
      <c r="AQ46" s="515"/>
    </row>
    <row r="47" spans="2:63" s="513" customFormat="1">
      <c r="B47" s="707" t="s">
        <v>1791</v>
      </c>
      <c r="K47" s="646"/>
      <c r="M47" s="708"/>
      <c r="N47" s="646"/>
      <c r="Q47" s="709"/>
      <c r="R47" s="709"/>
      <c r="S47" s="710"/>
      <c r="T47" s="710"/>
      <c r="U47" s="711"/>
      <c r="V47" s="709"/>
      <c r="W47" s="709"/>
      <c r="X47" s="709"/>
      <c r="AD47" s="576"/>
      <c r="AM47" s="576"/>
      <c r="AQ47" s="515"/>
    </row>
    <row r="48" spans="2:63" s="513" customFormat="1">
      <c r="B48" s="715"/>
      <c r="D48" s="716"/>
      <c r="E48" s="716"/>
      <c r="K48" s="646"/>
      <c r="M48" s="708"/>
      <c r="N48" s="646"/>
      <c r="Q48" s="709"/>
      <c r="R48" s="709"/>
      <c r="S48" s="710"/>
      <c r="T48" s="710"/>
      <c r="U48" s="711"/>
      <c r="V48" s="709"/>
      <c r="W48" s="709"/>
      <c r="X48" s="709"/>
      <c r="AD48" s="576"/>
      <c r="AM48" s="576"/>
      <c r="AQ48" s="515"/>
    </row>
    <row r="49" spans="2:50" s="507" customFormat="1">
      <c r="B49" s="529" t="s">
        <v>1792</v>
      </c>
      <c r="K49" s="509"/>
      <c r="M49" s="508"/>
      <c r="N49" s="509"/>
      <c r="Q49" s="510"/>
      <c r="R49" s="510"/>
      <c r="S49" s="511"/>
      <c r="T49" s="511"/>
      <c r="U49" s="512"/>
      <c r="V49" s="510"/>
      <c r="W49" s="510"/>
      <c r="X49" s="510"/>
      <c r="Y49" s="513"/>
      <c r="AD49" s="514"/>
      <c r="AJ49" s="513"/>
      <c r="AK49" s="513"/>
      <c r="AM49" s="514"/>
      <c r="AP49" s="513"/>
      <c r="AQ49" s="515"/>
      <c r="AU49" s="516"/>
      <c r="AV49" s="516"/>
      <c r="AW49" s="516"/>
      <c r="AX49" s="516"/>
    </row>
    <row r="50" spans="2:50" s="507" customFormat="1">
      <c r="B50" s="717" t="s">
        <v>1793</v>
      </c>
      <c r="K50" s="509"/>
      <c r="M50" s="508"/>
      <c r="N50" s="509"/>
      <c r="Q50" s="510"/>
      <c r="R50" s="510"/>
      <c r="S50" s="511"/>
      <c r="T50" s="511"/>
      <c r="U50" s="512"/>
      <c r="V50" s="510"/>
      <c r="W50" s="510"/>
      <c r="X50" s="510"/>
      <c r="Y50" s="513"/>
      <c r="AD50" s="514"/>
      <c r="AJ50" s="513"/>
      <c r="AK50" s="513"/>
      <c r="AM50" s="514"/>
      <c r="AP50" s="513"/>
      <c r="AQ50" s="515"/>
      <c r="AU50" s="516"/>
      <c r="AV50" s="516"/>
      <c r="AW50" s="516"/>
      <c r="AX50" s="516"/>
    </row>
  </sheetData>
  <mergeCells count="20">
    <mergeCell ref="AY15:BA15"/>
    <mergeCell ref="B18:D18"/>
    <mergeCell ref="Q22:X22"/>
    <mergeCell ref="B26:D26"/>
    <mergeCell ref="BE15:BK15"/>
    <mergeCell ref="AV14:AX14"/>
    <mergeCell ref="C15:F15"/>
    <mergeCell ref="H15:O15"/>
    <mergeCell ref="Q15:X15"/>
    <mergeCell ref="AL15:AO15"/>
    <mergeCell ref="AR15:AT15"/>
    <mergeCell ref="AV15:AV16"/>
    <mergeCell ref="AW15:AW16"/>
    <mergeCell ref="AX15:AX16"/>
    <mergeCell ref="B7:J7"/>
    <mergeCell ref="U9:V9"/>
    <mergeCell ref="AR11:AT14"/>
    <mergeCell ref="H14:O14"/>
    <mergeCell ref="Q14:X14"/>
    <mergeCell ref="Z14:AI14"/>
  </mergeCells>
  <pageMargins left="0.78740157480314965" right="0.78740157480314965" top="1.1811023622047245" bottom="0.78740157480314965" header="0.39370078740157483" footer="0.39370078740157483"/>
  <pageSetup paperSize="9" scale="13" orientation="portrait" r:id="rId1"/>
  <headerFooter alignWithMargins="0">
    <oddFooter>&amp;L&amp;9&amp;F, &amp;A 
Printed: &amp;D&amp;C&amp;9&amp;P&amp;R&amp;9Reviewed by .................................
&amp;9Date .................................</oddFooter>
  </headerFooter>
  <drawing r:id="rId2"/>
  <legacyDrawing r:id="rId3"/>
  <oleObjects>
    <mc:AlternateContent xmlns:mc="http://schemas.openxmlformats.org/markup-compatibility/2006">
      <mc:Choice Requires="x14">
        <oleObject progId="AcroExch.Document.DC" dvAspect="DVASPECT_ICON" shapeId="51203" r:id="rId4">
          <objectPr defaultSize="0" autoPict="0" r:id="rId5">
            <anchor moveWithCells="1">
              <from>
                <xdr:col>22</xdr:col>
                <xdr:colOff>209550</xdr:colOff>
                <xdr:row>30</xdr:row>
                <xdr:rowOff>38100</xdr:rowOff>
              </from>
              <to>
                <xdr:col>22</xdr:col>
                <xdr:colOff>314325</xdr:colOff>
                <xdr:row>40</xdr:row>
                <xdr:rowOff>104775</xdr:rowOff>
              </to>
            </anchor>
          </objectPr>
        </oleObject>
      </mc:Choice>
      <mc:Fallback>
        <oleObject progId="AcroExch.Document.DC" dvAspect="DVASPECT_ICON" shapeId="51203" r:id="rId4"/>
      </mc:Fallback>
    </mc:AlternateContent>
    <mc:AlternateContent xmlns:mc="http://schemas.openxmlformats.org/markup-compatibility/2006">
      <mc:Choice Requires="x14">
        <oleObject progId="AcroExch.Document.DC" dvAspect="DVASPECT_ICON" shapeId="51204" r:id="rId6">
          <objectPr defaultSize="0" autoPict="0" r:id="rId7">
            <anchor moveWithCells="1">
              <from>
                <xdr:col>22</xdr:col>
                <xdr:colOff>200025</xdr:colOff>
                <xdr:row>31</xdr:row>
                <xdr:rowOff>28575</xdr:rowOff>
              </from>
              <to>
                <xdr:col>22</xdr:col>
                <xdr:colOff>304800</xdr:colOff>
                <xdr:row>40</xdr:row>
                <xdr:rowOff>133350</xdr:rowOff>
              </to>
            </anchor>
          </objectPr>
        </oleObject>
      </mc:Choice>
      <mc:Fallback>
        <oleObject progId="AcroExch.Document.DC" dvAspect="DVASPECT_ICON" shapeId="51204" r:id="rId6"/>
      </mc:Fallback>
    </mc:AlternateContent>
    <mc:AlternateContent xmlns:mc="http://schemas.openxmlformats.org/markup-compatibility/2006">
      <mc:Choice Requires="x14">
        <oleObject progId="AcroExch.Document.DC" dvAspect="DVASPECT_ICON" shapeId="51205" r:id="rId8">
          <objectPr defaultSize="0" autoPict="0" r:id="rId9">
            <anchor moveWithCells="1">
              <from>
                <xdr:col>35</xdr:col>
                <xdr:colOff>66675</xdr:colOff>
                <xdr:row>37</xdr:row>
                <xdr:rowOff>0</xdr:rowOff>
              </from>
              <to>
                <xdr:col>35</xdr:col>
                <xdr:colOff>228600</xdr:colOff>
                <xdr:row>41</xdr:row>
                <xdr:rowOff>19050</xdr:rowOff>
              </to>
            </anchor>
          </objectPr>
        </oleObject>
      </mc:Choice>
      <mc:Fallback>
        <oleObject progId="AcroExch.Document.DC" dvAspect="DVASPECT_ICON" shapeId="51205" r:id="rId8"/>
      </mc:Fallback>
    </mc:AlternateContent>
    <mc:AlternateContent xmlns:mc="http://schemas.openxmlformats.org/markup-compatibility/2006">
      <mc:Choice Requires="x14">
        <oleObject progId="AcroExch.Document.DC" dvAspect="DVASPECT_ICON" shapeId="51206" r:id="rId10">
          <objectPr defaultSize="0" autoPict="0" r:id="rId11">
            <anchor moveWithCells="1">
              <from>
                <xdr:col>35</xdr:col>
                <xdr:colOff>85725</xdr:colOff>
                <xdr:row>21</xdr:row>
                <xdr:rowOff>28575</xdr:rowOff>
              </from>
              <to>
                <xdr:col>35</xdr:col>
                <xdr:colOff>228600</xdr:colOff>
                <xdr:row>21</xdr:row>
                <xdr:rowOff>152400</xdr:rowOff>
              </to>
            </anchor>
          </objectPr>
        </oleObject>
      </mc:Choice>
      <mc:Fallback>
        <oleObject progId="AcroExch.Document.DC" dvAspect="DVASPECT_ICON" shapeId="51206" r:id="rId10"/>
      </mc:Fallback>
    </mc:AlternateContent>
  </oleObjec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G48"/>
  <sheetViews>
    <sheetView showGridLines="0" topLeftCell="X9" zoomScale="85" zoomScaleNormal="85" workbookViewId="0">
      <selection activeCell="BG48" sqref="BG48"/>
    </sheetView>
  </sheetViews>
  <sheetFormatPr defaultColWidth="9" defaultRowHeight="12.75"/>
  <cols>
    <col min="1" max="1" width="2.875" style="719" customWidth="1"/>
    <col min="2" max="2" width="13.875" style="719" customWidth="1"/>
    <col min="3" max="3" width="0.875" style="719" customWidth="1"/>
    <col min="4" max="4" width="11" style="719" customWidth="1"/>
    <col min="5" max="5" width="11.625" style="720" customWidth="1"/>
    <col min="6" max="6" width="17.375" style="720" customWidth="1"/>
    <col min="7" max="7" width="13.625" style="720" customWidth="1"/>
    <col min="8" max="8" width="0.875" style="719" customWidth="1"/>
    <col min="9" max="9" width="13.625" style="720" customWidth="1"/>
    <col min="10" max="10" width="13.375" style="720" customWidth="1"/>
    <col min="11" max="11" width="16.375" style="719" customWidth="1"/>
    <col min="12" max="12" width="14.875" style="719" customWidth="1"/>
    <col min="13" max="13" width="16.375" style="719" customWidth="1"/>
    <col min="14" max="14" width="3" style="719" customWidth="1"/>
    <col min="15" max="15" width="14.25" style="719" customWidth="1"/>
    <col min="16" max="16" width="0.875" style="719" customWidth="1"/>
    <col min="17" max="17" width="13.625" style="719" customWidth="1"/>
    <col min="18" max="18" width="11" style="719" customWidth="1"/>
    <col min="19" max="19" width="12.5" style="719" customWidth="1"/>
    <col min="20" max="20" width="10.5" style="719" customWidth="1"/>
    <col min="21" max="21" width="10" style="719" customWidth="1"/>
    <col min="22" max="22" width="9.25" style="719" customWidth="1"/>
    <col min="23" max="23" width="14.5" style="719" customWidth="1"/>
    <col min="24" max="24" width="15.375" style="719" customWidth="1"/>
    <col min="25" max="25" width="0.875" style="719" customWidth="1"/>
    <col min="26" max="26" width="16.375" style="719" customWidth="1"/>
    <col min="27" max="27" width="12" style="719" customWidth="1"/>
    <col min="28" max="29" width="9.25" style="719" customWidth="1"/>
    <col min="30" max="30" width="16.625" style="719" customWidth="1"/>
    <col min="31" max="31" width="8.875" style="719" customWidth="1"/>
    <col min="32" max="32" width="13.625" style="719" customWidth="1"/>
    <col min="33" max="33" width="0.875" style="719" hidden="1" customWidth="1"/>
    <col min="34" max="34" width="10.875" style="719" hidden="1" customWidth="1"/>
    <col min="35" max="37" width="0" style="719" hidden="1" customWidth="1"/>
    <col min="38" max="38" width="11.875" style="719" hidden="1" customWidth="1"/>
    <col min="39" max="39" width="15" style="719" hidden="1" customWidth="1"/>
    <col min="40" max="40" width="11.5" style="719" hidden="1" customWidth="1"/>
    <col min="41" max="41" width="0.875" style="719" hidden="1" customWidth="1"/>
    <col min="42" max="42" width="10.875" style="719" hidden="1" customWidth="1"/>
    <col min="43" max="45" width="0" style="719" hidden="1" customWidth="1"/>
    <col min="46" max="46" width="13.5" style="719" hidden="1" customWidth="1"/>
    <col min="47" max="47" width="11.5" style="719" hidden="1" customWidth="1"/>
    <col min="48" max="48" width="10.875" style="719" hidden="1" customWidth="1"/>
    <col min="49" max="50" width="0" style="719" hidden="1" customWidth="1"/>
    <col min="51" max="51" width="13.75" style="719" customWidth="1"/>
    <col min="52" max="52" width="9" style="719"/>
    <col min="53" max="53" width="11.875" style="719" customWidth="1"/>
    <col min="54" max="54" width="13.625" style="719" customWidth="1"/>
    <col min="55" max="55" width="12.375" style="719" customWidth="1"/>
    <col min="56" max="56" width="10.5" style="719" customWidth="1"/>
    <col min="57" max="57" width="13.625" style="719" customWidth="1"/>
    <col min="58" max="59" width="13.375" style="719" customWidth="1"/>
    <col min="60" max="16384" width="9" style="719"/>
  </cols>
  <sheetData>
    <row r="2" spans="2:59">
      <c r="B2" s="718" t="s">
        <v>1836</v>
      </c>
    </row>
    <row r="3" spans="2:59">
      <c r="B3" s="718" t="s">
        <v>1709</v>
      </c>
    </row>
    <row r="4" spans="2:59">
      <c r="B4" s="718" t="s">
        <v>1794</v>
      </c>
    </row>
    <row r="5" spans="2:59">
      <c r="B5" s="721" t="s">
        <v>1854</v>
      </c>
    </row>
    <row r="6" spans="2:59">
      <c r="Z6" s="722" t="s">
        <v>1795</v>
      </c>
      <c r="AA6" s="722" t="s">
        <v>1713</v>
      </c>
    </row>
    <row r="7" spans="2:59">
      <c r="B7" s="812" t="s">
        <v>1717</v>
      </c>
      <c r="C7" s="813"/>
      <c r="D7" s="813"/>
      <c r="E7" s="814"/>
      <c r="F7" s="814"/>
      <c r="G7" s="814"/>
      <c r="H7" s="813"/>
      <c r="I7" s="814"/>
      <c r="J7" s="814"/>
      <c r="K7" s="813"/>
      <c r="L7" s="813"/>
      <c r="M7" s="813"/>
      <c r="N7" s="813"/>
      <c r="O7" s="813"/>
      <c r="P7" s="813"/>
      <c r="Q7" s="813"/>
      <c r="R7" s="813"/>
      <c r="S7" s="813"/>
      <c r="T7" s="813"/>
      <c r="U7" s="815"/>
      <c r="Z7" s="723">
        <v>42917</v>
      </c>
      <c r="AA7" s="723">
        <v>43281</v>
      </c>
    </row>
    <row r="9" spans="2:59">
      <c r="B9" s="724" t="s">
        <v>1796</v>
      </c>
      <c r="C9" s="725"/>
      <c r="D9" s="725"/>
      <c r="E9" s="726"/>
      <c r="F9" s="726"/>
      <c r="G9" s="726"/>
      <c r="H9" s="725"/>
      <c r="I9" s="726"/>
      <c r="J9" s="726"/>
      <c r="K9" s="725"/>
      <c r="L9" s="725"/>
      <c r="M9" s="725"/>
      <c r="N9" s="725"/>
      <c r="O9" s="725"/>
      <c r="P9" s="725"/>
      <c r="Q9" s="725"/>
      <c r="R9" s="725"/>
      <c r="S9" s="725"/>
      <c r="T9" s="725"/>
      <c r="U9" s="727"/>
    </row>
    <row r="10" spans="2:59">
      <c r="B10" s="728"/>
      <c r="C10" s="728"/>
      <c r="D10" s="728"/>
      <c r="E10" s="729"/>
      <c r="F10" s="729"/>
      <c r="G10" s="729"/>
      <c r="H10" s="728"/>
      <c r="I10" s="729"/>
      <c r="J10" s="729"/>
      <c r="K10" s="728"/>
      <c r="L10" s="728"/>
      <c r="M10" s="728"/>
      <c r="N10" s="728"/>
      <c r="O10" s="728"/>
      <c r="P10" s="728"/>
      <c r="Q10" s="728"/>
      <c r="R10" s="728"/>
      <c r="S10" s="728"/>
      <c r="T10" s="728"/>
      <c r="U10" s="728"/>
      <c r="V10" s="728"/>
      <c r="W10" s="728"/>
    </row>
    <row r="11" spans="2:59" ht="13.5" thickBot="1">
      <c r="B11" s="728"/>
      <c r="C11" s="728"/>
      <c r="D11" s="728"/>
      <c r="E11" s="729"/>
      <c r="F11" s="729"/>
      <c r="G11" s="729"/>
      <c r="H11" s="728"/>
      <c r="I11" s="729"/>
      <c r="J11" s="729"/>
      <c r="K11" s="728"/>
      <c r="L11" s="728"/>
      <c r="M11" s="728"/>
      <c r="N11" s="728"/>
      <c r="O11" s="728"/>
      <c r="P11" s="728"/>
      <c r="Q11" s="728"/>
      <c r="R11" s="728"/>
      <c r="S11" s="728"/>
      <c r="T11" s="728"/>
      <c r="U11" s="728"/>
      <c r="V11" s="728"/>
      <c r="W11" s="728"/>
    </row>
    <row r="12" spans="2:59" s="728" customFormat="1" ht="15.75" customHeight="1" thickBot="1">
      <c r="B12" s="730"/>
      <c r="C12" s="730"/>
      <c r="D12" s="731"/>
      <c r="E12" s="3247" t="s">
        <v>1797</v>
      </c>
      <c r="F12" s="3247"/>
      <c r="G12" s="3248"/>
      <c r="H12" s="795"/>
      <c r="I12" s="3249" t="s">
        <v>1728</v>
      </c>
      <c r="J12" s="3250"/>
      <c r="K12" s="3250"/>
      <c r="L12" s="3250"/>
      <c r="M12" s="3250"/>
      <c r="N12" s="810"/>
      <c r="O12" s="811"/>
      <c r="P12" s="795"/>
      <c r="Q12" s="3249" t="s">
        <v>1798</v>
      </c>
      <c r="R12" s="3250"/>
      <c r="S12" s="3250"/>
      <c r="T12" s="3250"/>
      <c r="U12" s="3250"/>
      <c r="V12" s="3250"/>
      <c r="W12" s="3250"/>
      <c r="X12" s="3251"/>
      <c r="Y12" s="730"/>
      <c r="Z12" s="732"/>
      <c r="AA12" s="732"/>
      <c r="AB12" s="732"/>
      <c r="AC12" s="732"/>
      <c r="AD12" s="732"/>
      <c r="AE12" s="732"/>
      <c r="AF12" s="732"/>
      <c r="AG12" s="732"/>
      <c r="AH12" s="3252" t="s">
        <v>1799</v>
      </c>
      <c r="AI12" s="3253"/>
      <c r="AJ12" s="3253"/>
      <c r="AK12" s="3253"/>
      <c r="AL12" s="3253"/>
      <c r="AM12" s="3253"/>
      <c r="AN12" s="3253"/>
      <c r="AO12" s="3253"/>
      <c r="AP12" s="3253"/>
      <c r="AQ12" s="3253"/>
      <c r="AR12" s="3253"/>
      <c r="AS12" s="3253"/>
      <c r="AT12" s="3253"/>
      <c r="AU12" s="3253"/>
      <c r="AV12" s="3254"/>
      <c r="BA12" s="3239" t="s">
        <v>1837</v>
      </c>
      <c r="BB12" s="3239"/>
      <c r="BC12" s="3239"/>
      <c r="BD12" s="3239"/>
      <c r="BE12" s="3239"/>
      <c r="BF12" s="3239"/>
      <c r="BG12" s="3239"/>
    </row>
    <row r="13" spans="2:59" s="728" customFormat="1" ht="51.75" thickBot="1">
      <c r="B13" s="794" t="s">
        <v>1800</v>
      </c>
      <c r="C13" s="795"/>
      <c r="D13" s="796" t="s">
        <v>1801</v>
      </c>
      <c r="E13" s="797" t="s">
        <v>1802</v>
      </c>
      <c r="F13" s="797" t="s">
        <v>1738</v>
      </c>
      <c r="G13" s="798" t="s">
        <v>1739</v>
      </c>
      <c r="H13" s="795"/>
      <c r="I13" s="799" t="s">
        <v>1803</v>
      </c>
      <c r="J13" s="797" t="s">
        <v>1804</v>
      </c>
      <c r="K13" s="797" t="s">
        <v>1744</v>
      </c>
      <c r="L13" s="800" t="s">
        <v>1805</v>
      </c>
      <c r="M13" s="797" t="s">
        <v>1806</v>
      </c>
      <c r="N13" s="801"/>
      <c r="O13" s="798"/>
      <c r="P13" s="795"/>
      <c r="Q13" s="799" t="s">
        <v>1739</v>
      </c>
      <c r="R13" s="797" t="s">
        <v>1807</v>
      </c>
      <c r="S13" s="797" t="s">
        <v>1808</v>
      </c>
      <c r="T13" s="797" t="s">
        <v>1809</v>
      </c>
      <c r="U13" s="797" t="s">
        <v>1810</v>
      </c>
      <c r="V13" s="797" t="s">
        <v>1811</v>
      </c>
      <c r="W13" s="797" t="s">
        <v>1812</v>
      </c>
      <c r="X13" s="798" t="s">
        <v>1813</v>
      </c>
      <c r="Y13" s="795"/>
      <c r="Z13" s="802" t="s">
        <v>1814</v>
      </c>
      <c r="AA13" s="803" t="s">
        <v>1815</v>
      </c>
      <c r="AB13" s="803" t="s">
        <v>1816</v>
      </c>
      <c r="AC13" s="803" t="s">
        <v>1817</v>
      </c>
      <c r="AD13" s="803" t="s">
        <v>1818</v>
      </c>
      <c r="AE13" s="804"/>
      <c r="AF13" s="805" t="s">
        <v>1819</v>
      </c>
      <c r="AG13" s="732"/>
      <c r="AH13" s="735" t="s">
        <v>1814</v>
      </c>
      <c r="AI13" s="733" t="s">
        <v>1815</v>
      </c>
      <c r="AJ13" s="733" t="s">
        <v>1816</v>
      </c>
      <c r="AK13" s="733" t="s">
        <v>1817</v>
      </c>
      <c r="AL13" s="733" t="s">
        <v>1818</v>
      </c>
      <c r="AM13" s="733" t="s">
        <v>1820</v>
      </c>
      <c r="AN13" s="733" t="s">
        <v>1</v>
      </c>
      <c r="AO13" s="736"/>
      <c r="AP13" s="733" t="s">
        <v>1814</v>
      </c>
      <c r="AQ13" s="733" t="s">
        <v>1815</v>
      </c>
      <c r="AR13" s="733" t="s">
        <v>1816</v>
      </c>
      <c r="AS13" s="733" t="s">
        <v>1817</v>
      </c>
      <c r="AT13" s="733" t="s">
        <v>1818</v>
      </c>
      <c r="AU13" s="733" t="s">
        <v>1820</v>
      </c>
      <c r="AV13" s="734" t="s">
        <v>1</v>
      </c>
      <c r="BA13" s="821" t="s">
        <v>1841</v>
      </c>
      <c r="BB13" s="803" t="s">
        <v>1838</v>
      </c>
      <c r="BC13" s="803" t="s">
        <v>1839</v>
      </c>
      <c r="BD13" s="821" t="s">
        <v>1842</v>
      </c>
      <c r="BE13" s="803" t="s">
        <v>1838</v>
      </c>
      <c r="BF13" s="803" t="s">
        <v>1839</v>
      </c>
      <c r="BG13" s="805" t="s">
        <v>1840</v>
      </c>
    </row>
    <row r="14" spans="2:59" ht="5.0999999999999996" customHeight="1"/>
    <row r="15" spans="2:59">
      <c r="B15" s="737"/>
      <c r="I15" s="738"/>
      <c r="AA15" s="739"/>
    </row>
    <row r="16" spans="2:59" s="728" customFormat="1">
      <c r="B16" s="740">
        <v>1</v>
      </c>
      <c r="C16" s="741"/>
      <c r="D16" s="742" t="s">
        <v>1821</v>
      </c>
      <c r="E16" s="742">
        <v>3</v>
      </c>
      <c r="F16" s="743">
        <v>43258</v>
      </c>
      <c r="G16" s="743">
        <v>43342</v>
      </c>
      <c r="H16" s="741"/>
      <c r="I16" s="743">
        <v>43277</v>
      </c>
      <c r="J16" s="744">
        <v>98.813400000000001</v>
      </c>
      <c r="K16" s="745">
        <v>25000000</v>
      </c>
      <c r="L16" s="742"/>
      <c r="M16" s="746">
        <f>J16*K16/100</f>
        <v>24703350</v>
      </c>
      <c r="N16" s="746"/>
      <c r="O16" s="741"/>
      <c r="P16" s="741"/>
      <c r="Q16" s="747">
        <f>G16</f>
        <v>43342</v>
      </c>
      <c r="R16" s="743">
        <f>IF(G16&lt;$AA$7,G16,$AA$7)</f>
        <v>43281</v>
      </c>
      <c r="S16" s="745">
        <f>K16-M16</f>
        <v>296650</v>
      </c>
      <c r="T16" s="741">
        <f>Q16-I16</f>
        <v>65</v>
      </c>
      <c r="U16" s="746">
        <f>S16/T16</f>
        <v>4563.8461538461543</v>
      </c>
      <c r="V16" s="741">
        <f>R16-I16</f>
        <v>4</v>
      </c>
      <c r="W16" s="746">
        <f>U16*V16</f>
        <v>18255.384615384617</v>
      </c>
      <c r="X16" s="746">
        <f>S16-W16</f>
        <v>278394.61538461538</v>
      </c>
      <c r="Y16" s="741"/>
      <c r="Z16" s="745">
        <f>M16+W16</f>
        <v>24721605.384615384</v>
      </c>
      <c r="AA16" s="741">
        <f>Q16-R16</f>
        <v>61</v>
      </c>
      <c r="AB16" s="748">
        <f>O23</f>
        <v>6.7000000000000004E-2</v>
      </c>
      <c r="AC16" s="749">
        <f>ROUND(1/(1+((AB16/365)*AA16)),6)</f>
        <v>0.988927</v>
      </c>
      <c r="AD16" s="746">
        <f>K16*AC16</f>
        <v>24723175</v>
      </c>
      <c r="AE16" s="750"/>
      <c r="AF16" s="751">
        <f>AD16-Z16</f>
        <v>1569.6153846159577</v>
      </c>
      <c r="AH16" s="752"/>
      <c r="AJ16" s="753"/>
      <c r="AK16" s="754"/>
      <c r="AL16" s="755"/>
      <c r="AM16" s="756"/>
      <c r="AN16" s="757"/>
      <c r="AP16" s="752"/>
      <c r="AR16" s="753"/>
      <c r="AT16" s="757"/>
      <c r="AU16" s="757"/>
      <c r="AV16" s="757"/>
      <c r="BA16" s="822">
        <f>$AB$16+1%</f>
        <v>7.6999999999999999E-2</v>
      </c>
      <c r="BB16" s="823">
        <f>(ROUND(1/(1+((BA16/365)*$AA$16)),6))*$K$16</f>
        <v>24682375</v>
      </c>
      <c r="BC16" s="823">
        <f>$AD$19-BB16</f>
        <v>45360</v>
      </c>
      <c r="BD16" s="822">
        <f>$AB$16-1%</f>
        <v>5.7000000000000002E-2</v>
      </c>
      <c r="BE16" s="823">
        <f>(ROUND(1/(1+((BD16/365)*$AA$16)),6))*$K$16</f>
        <v>24764100</v>
      </c>
      <c r="BF16" s="823">
        <f>$AD$19-BE16</f>
        <v>-36365</v>
      </c>
      <c r="BG16" s="823">
        <f>BC16+BF16</f>
        <v>8995</v>
      </c>
    </row>
    <row r="17" spans="2:51" ht="5.0999999999999996" customHeight="1">
      <c r="U17" s="739"/>
    </row>
    <row r="18" spans="2:51" s="718" customFormat="1">
      <c r="E18" s="758"/>
      <c r="F18" s="758"/>
      <c r="G18" s="758"/>
      <c r="I18" s="758"/>
      <c r="J18" s="758"/>
      <c r="K18" s="759">
        <f>SUM(K16:K17)</f>
        <v>25000000</v>
      </c>
      <c r="L18" s="760"/>
      <c r="M18" s="759">
        <f>SUM(M16:M17)</f>
        <v>24703350</v>
      </c>
      <c r="N18" s="759"/>
      <c r="O18" s="759"/>
      <c r="P18" s="760"/>
      <c r="Q18" s="761"/>
      <c r="R18" s="759"/>
      <c r="S18" s="760"/>
      <c r="T18" s="760"/>
      <c r="U18" s="759"/>
      <c r="V18" s="760"/>
      <c r="W18" s="759">
        <f>SUM(W16:W17)</f>
        <v>18255.384615384617</v>
      </c>
      <c r="X18" s="759">
        <f>SUM(X16:X17)</f>
        <v>278394.61538461538</v>
      </c>
      <c r="Y18" s="760"/>
      <c r="Z18" s="759">
        <f>SUM(Z16:Z17)</f>
        <v>24721605.384615384</v>
      </c>
      <c r="AA18" s="760"/>
      <c r="AB18" s="760"/>
      <c r="AC18" s="760"/>
      <c r="AD18" s="762">
        <f>SUM(AD16:AD17)/1000</f>
        <v>24723.174999999999</v>
      </c>
      <c r="AE18" s="759"/>
      <c r="AF18" s="762">
        <f>-SUM(AF16:AF17)</f>
        <v>-1569.6153846159577</v>
      </c>
      <c r="AG18" s="760"/>
      <c r="AH18" s="760"/>
      <c r="AI18" s="760"/>
      <c r="AJ18" s="760"/>
      <c r="AK18" s="760"/>
      <c r="AL18" s="760"/>
      <c r="AM18" s="760"/>
      <c r="AN18" s="760"/>
      <c r="AO18" s="760"/>
      <c r="AP18" s="760"/>
      <c r="AQ18" s="760"/>
      <c r="AR18" s="760"/>
      <c r="AS18" s="760"/>
      <c r="AT18" s="760"/>
      <c r="AU18" s="760"/>
      <c r="AV18" s="760"/>
      <c r="AW18" s="760"/>
      <c r="AX18" s="760"/>
      <c r="AY18" s="763"/>
    </row>
    <row r="19" spans="2:51" ht="13.5" thickBot="1">
      <c r="M19" s="739"/>
      <c r="N19" s="739"/>
      <c r="W19" s="764"/>
      <c r="AB19" s="765" t="s">
        <v>1822</v>
      </c>
      <c r="AC19" s="764"/>
      <c r="AD19" s="766">
        <v>24727735</v>
      </c>
      <c r="AE19" s="766"/>
      <c r="AF19" s="766">
        <v>-3784</v>
      </c>
    </row>
    <row r="20" spans="2:51" ht="13.5" thickBot="1">
      <c r="B20" s="3240" t="s">
        <v>1823</v>
      </c>
      <c r="C20" s="3242"/>
      <c r="D20" s="3242" t="s">
        <v>1824</v>
      </c>
      <c r="E20" s="3242" t="s">
        <v>1825</v>
      </c>
      <c r="F20" s="3242" t="s">
        <v>1826</v>
      </c>
      <c r="G20" s="3244" t="s">
        <v>1759</v>
      </c>
      <c r="H20" s="3244"/>
      <c r="I20" s="3244"/>
      <c r="J20" s="3244"/>
      <c r="K20" s="806"/>
      <c r="L20" s="3244" t="s">
        <v>1804</v>
      </c>
      <c r="M20" s="3244"/>
      <c r="N20" s="3245"/>
      <c r="O20" s="3246"/>
      <c r="W20" s="767"/>
      <c r="AB20" s="718" t="s">
        <v>1</v>
      </c>
      <c r="AD20" s="768">
        <f>AD19-AD18</f>
        <v>24703011.824999999</v>
      </c>
      <c r="AE20" s="759"/>
      <c r="AF20" s="768">
        <f>AF18-AF19</f>
        <v>2214.3846153840423</v>
      </c>
      <c r="AG20" s="769"/>
      <c r="AH20" s="719" t="s">
        <v>1827</v>
      </c>
      <c r="AY20" s="763" t="s">
        <v>1827</v>
      </c>
    </row>
    <row r="21" spans="2:51" ht="39.75" thickTop="1" thickBot="1">
      <c r="B21" s="3241"/>
      <c r="C21" s="3243"/>
      <c r="D21" s="3243"/>
      <c r="E21" s="3243"/>
      <c r="F21" s="3243"/>
      <c r="G21" s="807" t="s">
        <v>1828</v>
      </c>
      <c r="H21" s="807"/>
      <c r="I21" s="807" t="s">
        <v>1829</v>
      </c>
      <c r="J21" s="807" t="s">
        <v>1</v>
      </c>
      <c r="K21" s="807" t="s">
        <v>1830</v>
      </c>
      <c r="L21" s="807" t="s">
        <v>1828</v>
      </c>
      <c r="M21" s="807" t="s">
        <v>1829</v>
      </c>
      <c r="N21" s="808"/>
      <c r="O21" s="809" t="s">
        <v>1831</v>
      </c>
      <c r="W21" s="767"/>
      <c r="AD21" s="767"/>
      <c r="AE21" s="767"/>
    </row>
    <row r="22" spans="2:51">
      <c r="R22" s="739"/>
    </row>
    <row r="23" spans="2:51">
      <c r="B23" s="742" t="str">
        <f>D16</f>
        <v>OB1290 2</v>
      </c>
      <c r="C23" s="741"/>
      <c r="D23" s="743">
        <f>G16</f>
        <v>43342</v>
      </c>
      <c r="E23" s="743">
        <f>R16</f>
        <v>43281</v>
      </c>
      <c r="F23" s="742">
        <f>D23-E23-1</f>
        <v>60</v>
      </c>
      <c r="G23" s="742">
        <f>VLOOKUP(F23,$D$27:$G$47,1)</f>
        <v>60</v>
      </c>
      <c r="H23" s="741"/>
      <c r="I23" s="742">
        <f>VLOOKUP(F23,$D$27:$G$47,2)</f>
        <v>90</v>
      </c>
      <c r="J23" s="742">
        <f>I23-G23</f>
        <v>30</v>
      </c>
      <c r="K23" s="741">
        <f>F23-G23</f>
        <v>0</v>
      </c>
      <c r="L23" s="770">
        <f>VLOOKUP(F23,$D$27:$G$47,3)</f>
        <v>6.7000000000000004E-2</v>
      </c>
      <c r="M23" s="770">
        <f>VLOOKUP(F23,$D$27:$G$47,4)</f>
        <v>6.7799999999999999E-2</v>
      </c>
      <c r="N23" s="771"/>
      <c r="O23" s="772">
        <f>+(M23-L23)/J23*K23+L23</f>
        <v>6.7000000000000004E-2</v>
      </c>
      <c r="AF23" s="739"/>
    </row>
    <row r="24" spans="2:51">
      <c r="B24" s="728"/>
      <c r="C24" s="728"/>
      <c r="D24" s="773"/>
      <c r="E24" s="774"/>
      <c r="F24" s="729"/>
      <c r="G24" s="729"/>
      <c r="H24" s="728"/>
      <c r="I24" s="729"/>
      <c r="J24" s="729"/>
      <c r="K24" s="728"/>
      <c r="L24" s="775"/>
      <c r="M24" s="775"/>
      <c r="N24" s="775"/>
      <c r="O24" s="776"/>
    </row>
    <row r="25" spans="2:51" ht="13.5" thickBot="1">
      <c r="AF25" s="777"/>
    </row>
    <row r="26" spans="2:51">
      <c r="B26" s="816" t="s">
        <v>1832</v>
      </c>
      <c r="C26" s="817"/>
      <c r="D26" s="818" t="s">
        <v>1833</v>
      </c>
      <c r="E26" s="818" t="s">
        <v>1834</v>
      </c>
      <c r="F26" s="818" t="s">
        <v>1833</v>
      </c>
      <c r="G26" s="818" t="s">
        <v>1835</v>
      </c>
      <c r="H26" s="819"/>
      <c r="I26" s="820"/>
    </row>
    <row r="27" spans="2:51" ht="15.75">
      <c r="B27" s="778">
        <v>1</v>
      </c>
      <c r="C27" s="779"/>
      <c r="D27" s="779">
        <v>0</v>
      </c>
      <c r="E27" s="779">
        <v>7</v>
      </c>
      <c r="F27" s="780">
        <v>0</v>
      </c>
      <c r="G27" s="781">
        <v>6.9800000000000001E-2</v>
      </c>
      <c r="H27" s="782"/>
      <c r="I27" s="783"/>
      <c r="J27" s="784"/>
    </row>
    <row r="28" spans="2:51" ht="15.75">
      <c r="B28" s="778">
        <v>2</v>
      </c>
      <c r="C28" s="779"/>
      <c r="D28" s="779">
        <f t="shared" ref="D28:D47" si="0">+E27</f>
        <v>7</v>
      </c>
      <c r="E28" s="779">
        <v>15</v>
      </c>
      <c r="F28" s="780">
        <f>G27</f>
        <v>6.9800000000000001E-2</v>
      </c>
      <c r="G28" s="781">
        <v>6.7599999999999993E-2</v>
      </c>
      <c r="H28" s="782"/>
      <c r="I28" s="783"/>
      <c r="J28" s="784"/>
    </row>
    <row r="29" spans="2:51" ht="15.75">
      <c r="B29" s="778">
        <v>3</v>
      </c>
      <c r="C29" s="779"/>
      <c r="D29" s="779">
        <f t="shared" si="0"/>
        <v>15</v>
      </c>
      <c r="E29" s="779">
        <v>30</v>
      </c>
      <c r="F29" s="780">
        <f t="shared" ref="F29:F47" si="1">G28</f>
        <v>6.7599999999999993E-2</v>
      </c>
      <c r="G29" s="781">
        <v>6.6299999999999998E-2</v>
      </c>
      <c r="H29" s="782"/>
      <c r="I29" s="783"/>
      <c r="J29" s="784"/>
    </row>
    <row r="30" spans="2:51" ht="15.75">
      <c r="B30" s="778">
        <v>4</v>
      </c>
      <c r="C30" s="779"/>
      <c r="D30" s="779">
        <f t="shared" si="0"/>
        <v>30</v>
      </c>
      <c r="E30" s="779">
        <v>60</v>
      </c>
      <c r="F30" s="780">
        <f t="shared" si="1"/>
        <v>6.6299999999999998E-2</v>
      </c>
      <c r="G30" s="781">
        <v>6.7000000000000004E-2</v>
      </c>
      <c r="H30" s="782"/>
      <c r="I30" s="783"/>
      <c r="J30" s="784"/>
    </row>
    <row r="31" spans="2:51" ht="15.75">
      <c r="B31" s="778">
        <v>5</v>
      </c>
      <c r="C31" s="779"/>
      <c r="D31" s="779">
        <f t="shared" si="0"/>
        <v>60</v>
      </c>
      <c r="E31" s="779">
        <v>90</v>
      </c>
      <c r="F31" s="780">
        <f t="shared" si="1"/>
        <v>6.7000000000000004E-2</v>
      </c>
      <c r="G31" s="781">
        <v>6.7799999999999999E-2</v>
      </c>
      <c r="H31" s="782"/>
      <c r="I31" s="783"/>
      <c r="J31" s="784"/>
    </row>
    <row r="32" spans="2:51" ht="15.75">
      <c r="B32" s="778">
        <v>6</v>
      </c>
      <c r="C32" s="779"/>
      <c r="D32" s="779">
        <f t="shared" si="0"/>
        <v>90</v>
      </c>
      <c r="E32" s="779">
        <v>120</v>
      </c>
      <c r="F32" s="780">
        <f t="shared" si="1"/>
        <v>6.7799999999999999E-2</v>
      </c>
      <c r="G32" s="781">
        <v>6.8499999999999991E-2</v>
      </c>
      <c r="H32" s="782"/>
      <c r="I32" s="783"/>
      <c r="J32" s="784"/>
    </row>
    <row r="33" spans="2:10" ht="15.75">
      <c r="B33" s="778">
        <v>7</v>
      </c>
      <c r="C33" s="779"/>
      <c r="D33" s="779">
        <f t="shared" si="0"/>
        <v>120</v>
      </c>
      <c r="E33" s="779">
        <v>180</v>
      </c>
      <c r="F33" s="780">
        <f t="shared" si="1"/>
        <v>6.8499999999999991E-2</v>
      </c>
      <c r="G33" s="781">
        <v>6.9000000000000006E-2</v>
      </c>
      <c r="H33" s="782"/>
      <c r="I33" s="783"/>
      <c r="J33" s="784"/>
    </row>
    <row r="34" spans="2:10" ht="15.75">
      <c r="B34" s="778">
        <v>8</v>
      </c>
      <c r="C34" s="779"/>
      <c r="D34" s="779">
        <f t="shared" si="0"/>
        <v>180</v>
      </c>
      <c r="E34" s="779">
        <v>270</v>
      </c>
      <c r="F34" s="780">
        <f t="shared" si="1"/>
        <v>6.9000000000000006E-2</v>
      </c>
      <c r="G34" s="781">
        <v>6.9900000000000004E-2</v>
      </c>
      <c r="H34" s="782"/>
      <c r="I34" s="783"/>
      <c r="J34" s="784"/>
    </row>
    <row r="35" spans="2:10" ht="15.75">
      <c r="B35" s="778">
        <v>9</v>
      </c>
      <c r="C35" s="779"/>
      <c r="D35" s="779">
        <f t="shared" si="0"/>
        <v>270</v>
      </c>
      <c r="E35" s="779">
        <v>365</v>
      </c>
      <c r="F35" s="780">
        <f t="shared" si="1"/>
        <v>6.9900000000000004E-2</v>
      </c>
      <c r="G35" s="781">
        <v>7.2000000000000008E-2</v>
      </c>
      <c r="H35" s="782"/>
      <c r="I35" s="783"/>
      <c r="J35" s="784"/>
    </row>
    <row r="36" spans="2:10" ht="15.75">
      <c r="B36" s="778">
        <v>10</v>
      </c>
      <c r="C36" s="779"/>
      <c r="D36" s="779">
        <f t="shared" si="0"/>
        <v>365</v>
      </c>
      <c r="E36" s="779">
        <f>+E35*2</f>
        <v>730</v>
      </c>
      <c r="F36" s="780">
        <f t="shared" si="1"/>
        <v>7.2000000000000008E-2</v>
      </c>
      <c r="G36" s="781">
        <v>7.9600000000000004E-2</v>
      </c>
      <c r="H36" s="782"/>
      <c r="I36" s="783"/>
      <c r="J36" s="784"/>
    </row>
    <row r="37" spans="2:10" ht="15.75">
      <c r="B37" s="778">
        <v>11</v>
      </c>
      <c r="C37" s="779"/>
      <c r="D37" s="779">
        <f t="shared" si="0"/>
        <v>730</v>
      </c>
      <c r="E37" s="779">
        <f t="shared" ref="E37:E44" si="2">+E36+365</f>
        <v>1095</v>
      </c>
      <c r="F37" s="780">
        <f t="shared" si="1"/>
        <v>7.9600000000000004E-2</v>
      </c>
      <c r="G37" s="781">
        <v>8.2899999999999988E-2</v>
      </c>
      <c r="H37" s="782"/>
      <c r="I37" s="783"/>
      <c r="J37" s="784"/>
    </row>
    <row r="38" spans="2:10" ht="15.75">
      <c r="B38" s="778">
        <v>12</v>
      </c>
      <c r="C38" s="779"/>
      <c r="D38" s="779">
        <f t="shared" si="0"/>
        <v>1095</v>
      </c>
      <c r="E38" s="779">
        <f t="shared" si="2"/>
        <v>1460</v>
      </c>
      <c r="F38" s="780">
        <f t="shared" si="1"/>
        <v>8.2899999999999988E-2</v>
      </c>
      <c r="G38" s="781">
        <v>8.6800000000000002E-2</v>
      </c>
      <c r="H38" s="782"/>
      <c r="I38" s="783"/>
      <c r="J38" s="784"/>
    </row>
    <row r="39" spans="2:10" ht="15.75">
      <c r="B39" s="778">
        <v>13</v>
      </c>
      <c r="C39" s="779"/>
      <c r="D39" s="779">
        <f t="shared" si="0"/>
        <v>1460</v>
      </c>
      <c r="E39" s="779">
        <f t="shared" si="2"/>
        <v>1825</v>
      </c>
      <c r="F39" s="780">
        <f t="shared" si="1"/>
        <v>8.6800000000000002E-2</v>
      </c>
      <c r="G39" s="781">
        <v>8.77E-2</v>
      </c>
      <c r="H39" s="782"/>
      <c r="I39" s="783"/>
      <c r="J39" s="784"/>
    </row>
    <row r="40" spans="2:10" ht="15.75">
      <c r="B40" s="778">
        <v>14</v>
      </c>
      <c r="C40" s="779"/>
      <c r="D40" s="779">
        <f t="shared" si="0"/>
        <v>1825</v>
      </c>
      <c r="E40" s="779">
        <f t="shared" si="2"/>
        <v>2190</v>
      </c>
      <c r="F40" s="780">
        <f t="shared" si="1"/>
        <v>8.77E-2</v>
      </c>
      <c r="G40" s="781">
        <v>8.8200000000000001E-2</v>
      </c>
      <c r="H40" s="782"/>
      <c r="I40" s="783"/>
      <c r="J40" s="784"/>
    </row>
    <row r="41" spans="2:10" ht="15.75">
      <c r="B41" s="778">
        <v>15</v>
      </c>
      <c r="C41" s="779"/>
      <c r="D41" s="779">
        <f t="shared" si="0"/>
        <v>2190</v>
      </c>
      <c r="E41" s="779">
        <f t="shared" si="2"/>
        <v>2555</v>
      </c>
      <c r="F41" s="780">
        <f t="shared" si="1"/>
        <v>8.8200000000000001E-2</v>
      </c>
      <c r="G41" s="781">
        <v>8.8699999999999987E-2</v>
      </c>
      <c r="H41" s="782"/>
      <c r="I41" s="783"/>
      <c r="J41" s="784"/>
    </row>
    <row r="42" spans="2:10" ht="15.75">
      <c r="B42" s="778">
        <v>16</v>
      </c>
      <c r="C42" s="779"/>
      <c r="D42" s="779">
        <f t="shared" si="0"/>
        <v>2555</v>
      </c>
      <c r="E42" s="779">
        <f t="shared" si="2"/>
        <v>2920</v>
      </c>
      <c r="F42" s="780">
        <f t="shared" si="1"/>
        <v>8.8699999999999987E-2</v>
      </c>
      <c r="G42" s="781">
        <v>8.9200000000000002E-2</v>
      </c>
      <c r="H42" s="782"/>
      <c r="I42" s="783"/>
      <c r="J42" s="784"/>
    </row>
    <row r="43" spans="2:10" ht="15.75">
      <c r="B43" s="778">
        <v>17</v>
      </c>
      <c r="C43" s="779"/>
      <c r="D43" s="779">
        <f t="shared" si="0"/>
        <v>2920</v>
      </c>
      <c r="E43" s="779">
        <f t="shared" si="2"/>
        <v>3285</v>
      </c>
      <c r="F43" s="780">
        <f t="shared" si="1"/>
        <v>8.9200000000000002E-2</v>
      </c>
      <c r="G43" s="781">
        <v>8.9700000000000002E-2</v>
      </c>
      <c r="H43" s="782"/>
      <c r="I43" s="783"/>
      <c r="J43" s="784"/>
    </row>
    <row r="44" spans="2:10" ht="15.75">
      <c r="B44" s="778">
        <v>18</v>
      </c>
      <c r="C44" s="779"/>
      <c r="D44" s="779">
        <f t="shared" si="0"/>
        <v>3285</v>
      </c>
      <c r="E44" s="779">
        <f t="shared" si="2"/>
        <v>3650</v>
      </c>
      <c r="F44" s="780">
        <f t="shared" si="1"/>
        <v>8.9700000000000002E-2</v>
      </c>
      <c r="G44" s="781">
        <v>9.0299999999999991E-2</v>
      </c>
      <c r="H44" s="782"/>
      <c r="I44" s="783"/>
      <c r="J44" s="784"/>
    </row>
    <row r="45" spans="2:10" ht="15.75">
      <c r="B45" s="778">
        <v>19</v>
      </c>
      <c r="C45" s="779"/>
      <c r="D45" s="779">
        <f t="shared" si="0"/>
        <v>3650</v>
      </c>
      <c r="E45" s="779">
        <f>+E44+(365*5)</f>
        <v>5475</v>
      </c>
      <c r="F45" s="780">
        <f t="shared" si="1"/>
        <v>9.0299999999999991E-2</v>
      </c>
      <c r="G45" s="781">
        <v>0.1065</v>
      </c>
      <c r="H45" s="782"/>
      <c r="I45" s="783"/>
      <c r="J45" s="784"/>
    </row>
    <row r="46" spans="2:10" ht="15.75">
      <c r="B46" s="778">
        <v>20</v>
      </c>
      <c r="C46" s="779"/>
      <c r="D46" s="779">
        <f t="shared" si="0"/>
        <v>5475</v>
      </c>
      <c r="E46" s="779">
        <f>+E45+(365*5)</f>
        <v>7300</v>
      </c>
      <c r="F46" s="780">
        <f t="shared" si="1"/>
        <v>0.1065</v>
      </c>
      <c r="G46" s="781">
        <v>0.1116</v>
      </c>
      <c r="H46" s="782"/>
      <c r="I46" s="783"/>
      <c r="J46" s="784"/>
    </row>
    <row r="47" spans="2:10" ht="16.5" thickBot="1">
      <c r="B47" s="785">
        <v>21</v>
      </c>
      <c r="C47" s="786"/>
      <c r="D47" s="786">
        <f t="shared" si="0"/>
        <v>7300</v>
      </c>
      <c r="E47" s="786">
        <f>+E46+(365*10)</f>
        <v>10950</v>
      </c>
      <c r="F47" s="787">
        <f t="shared" si="1"/>
        <v>0.1116</v>
      </c>
      <c r="G47" s="781">
        <v>0.11650000000000001</v>
      </c>
      <c r="H47" s="788"/>
      <c r="I47" s="789"/>
      <c r="J47" s="784"/>
    </row>
    <row r="48" spans="2:10" ht="13.5" thickBot="1">
      <c r="B48" s="790"/>
      <c r="C48" s="791"/>
      <c r="D48" s="791"/>
      <c r="E48" s="792"/>
      <c r="F48" s="787"/>
      <c r="G48" s="792"/>
      <c r="H48" s="791"/>
      <c r="I48" s="793"/>
    </row>
  </sheetData>
  <mergeCells count="12">
    <mergeCell ref="L20:O20"/>
    <mergeCell ref="BA12:BG12"/>
    <mergeCell ref="E12:G12"/>
    <mergeCell ref="I12:M12"/>
    <mergeCell ref="Q12:X12"/>
    <mergeCell ref="AH12:AV12"/>
    <mergeCell ref="G20:J20"/>
    <mergeCell ref="B20:B21"/>
    <mergeCell ref="C20:C21"/>
    <mergeCell ref="D20:D21"/>
    <mergeCell ref="E20:E21"/>
    <mergeCell ref="F20:F21"/>
  </mergeCells>
  <pageMargins left="0.75" right="0.75" top="1" bottom="1" header="0.5" footer="0.5"/>
  <pageSetup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381"/>
  <sheetViews>
    <sheetView showGridLines="0" topLeftCell="A7" zoomScaleNormal="100" workbookViewId="0">
      <selection activeCell="I1381" sqref="I1381"/>
    </sheetView>
  </sheetViews>
  <sheetFormatPr defaultColWidth="9" defaultRowHeight="12.75"/>
  <cols>
    <col min="1" max="1" width="3.25" style="59" customWidth="1"/>
    <col min="2" max="2" width="12.625" style="59" customWidth="1"/>
    <col min="3" max="3" width="15" style="59" customWidth="1"/>
    <col min="4" max="4" width="15.375" style="59" customWidth="1"/>
    <col min="5" max="5" width="18.625" style="59" customWidth="1"/>
    <col min="6" max="6" width="15.375" style="59" customWidth="1"/>
    <col min="7" max="7" width="16" style="59" customWidth="1"/>
    <col min="8" max="8" width="15.625" style="59" customWidth="1"/>
    <col min="9" max="9" width="18.625" style="59" customWidth="1"/>
    <col min="10" max="16384" width="9" style="59"/>
  </cols>
  <sheetData>
    <row r="1" spans="2:9" ht="31.5">
      <c r="B1" s="58" t="s">
        <v>1383</v>
      </c>
    </row>
    <row r="2" spans="2:9">
      <c r="B2" s="60" t="s">
        <v>1392</v>
      </c>
    </row>
    <row r="3" spans="2:9">
      <c r="B3" s="61" t="s">
        <v>1393</v>
      </c>
    </row>
    <row r="4" spans="2:9">
      <c r="B4" s="62" t="s">
        <v>1384</v>
      </c>
    </row>
    <row r="7" spans="2:9" ht="25.5">
      <c r="B7" s="77" t="s">
        <v>1385</v>
      </c>
      <c r="C7" s="78" t="s">
        <v>1386</v>
      </c>
      <c r="D7" s="78" t="s">
        <v>1387</v>
      </c>
      <c r="E7" s="78" t="s">
        <v>1388</v>
      </c>
      <c r="F7" s="78" t="s">
        <v>1389</v>
      </c>
      <c r="G7" s="78" t="s">
        <v>711</v>
      </c>
      <c r="H7" s="79" t="s">
        <v>1390</v>
      </c>
      <c r="I7" s="79" t="s">
        <v>1391</v>
      </c>
    </row>
    <row r="8" spans="2:9">
      <c r="B8" s="63">
        <v>42552</v>
      </c>
      <c r="C8" s="64">
        <f t="shared" ref="C8:C71" si="0">SUMIF($D$377:$D$1380,B8,$E$377:$E$1380)</f>
        <v>0</v>
      </c>
      <c r="D8" s="65">
        <v>158693.75999996066</v>
      </c>
      <c r="E8" s="64">
        <f>+D8-C8</f>
        <v>158693.75999996066</v>
      </c>
      <c r="F8" s="64">
        <f t="shared" ref="F8:F71" si="1">SUMIF($B$376:$B$747,B8,$C$376:$C$747)</f>
        <v>0</v>
      </c>
      <c r="G8" s="64">
        <f>E8-F8</f>
        <v>158693.75999996066</v>
      </c>
      <c r="H8" s="66">
        <f>C8/SUM($E$8:E8)*SUM($F$8:F8)</f>
        <v>0</v>
      </c>
      <c r="I8" s="66">
        <f>C8/SUM($E$8:E8)*SUM($G$8:G8)</f>
        <v>0</v>
      </c>
    </row>
    <row r="9" spans="2:9">
      <c r="B9" s="67">
        <f>+B8+1</f>
        <v>42553</v>
      </c>
      <c r="C9" s="64">
        <f t="shared" si="0"/>
        <v>0</v>
      </c>
      <c r="D9" s="69">
        <v>158636.81</v>
      </c>
      <c r="E9" s="68">
        <f t="shared" ref="E9:E72" si="2">+D9-C9</f>
        <v>158636.81</v>
      </c>
      <c r="F9" s="64">
        <f t="shared" si="1"/>
        <v>0</v>
      </c>
      <c r="G9" s="68">
        <f>E9-F9</f>
        <v>158636.81</v>
      </c>
      <c r="H9" s="66">
        <f>C9/SUM($E$8:E9)*SUM($F$8:F9)</f>
        <v>0</v>
      </c>
      <c r="I9" s="66">
        <f>C9/SUM($E$8:E9)*SUM($G$8:G9)</f>
        <v>0</v>
      </c>
    </row>
    <row r="10" spans="2:9">
      <c r="B10" s="67">
        <f t="shared" ref="B10:B73" si="3">+B9+1</f>
        <v>42554</v>
      </c>
      <c r="C10" s="64">
        <f t="shared" si="0"/>
        <v>0</v>
      </c>
      <c r="D10" s="69">
        <v>150274.07999999999</v>
      </c>
      <c r="E10" s="68">
        <f t="shared" si="2"/>
        <v>150274.07999999999</v>
      </c>
      <c r="F10" s="64">
        <f t="shared" si="1"/>
        <v>0</v>
      </c>
      <c r="G10" s="68">
        <f t="shared" ref="G10:G73" si="4">E10-F10</f>
        <v>150274.07999999999</v>
      </c>
      <c r="H10" s="66">
        <f>C10/SUM($E$8:E10)*SUM($F$8:F10)</f>
        <v>0</v>
      </c>
      <c r="I10" s="66">
        <f>C10/SUM($E$8:E10)*SUM($G$8:G10)</f>
        <v>0</v>
      </c>
    </row>
    <row r="11" spans="2:9">
      <c r="B11" s="67">
        <f t="shared" si="3"/>
        <v>42555</v>
      </c>
      <c r="C11" s="64">
        <f t="shared" si="0"/>
        <v>0</v>
      </c>
      <c r="D11" s="69">
        <v>-2922985.5</v>
      </c>
      <c r="E11" s="68">
        <f t="shared" si="2"/>
        <v>-2922985.5</v>
      </c>
      <c r="F11" s="64">
        <f t="shared" si="1"/>
        <v>0</v>
      </c>
      <c r="G11" s="68">
        <f t="shared" si="4"/>
        <v>-2922985.5</v>
      </c>
      <c r="H11" s="66">
        <f>C11/SUM($E$8:E11)*SUM($F$8:F11)</f>
        <v>0</v>
      </c>
      <c r="I11" s="66">
        <f>C11/SUM($E$8:E11)*SUM($G$8:G11)</f>
        <v>0</v>
      </c>
    </row>
    <row r="12" spans="2:9">
      <c r="B12" s="67">
        <f t="shared" si="3"/>
        <v>42556</v>
      </c>
      <c r="C12" s="64">
        <f t="shared" si="0"/>
        <v>0</v>
      </c>
      <c r="D12" s="69">
        <v>128886.39</v>
      </c>
      <c r="E12" s="68">
        <f t="shared" si="2"/>
        <v>128886.39</v>
      </c>
      <c r="F12" s="64">
        <f t="shared" si="1"/>
        <v>0</v>
      </c>
      <c r="G12" s="68">
        <f t="shared" si="4"/>
        <v>128886.39</v>
      </c>
      <c r="H12" s="66">
        <f>C12/SUM($E$8:E12)*SUM($F$8:F12)</f>
        <v>0</v>
      </c>
      <c r="I12" s="66">
        <f>C12/SUM($E$8:E12)*SUM($G$8:G12)</f>
        <v>0</v>
      </c>
    </row>
    <row r="13" spans="2:9">
      <c r="B13" s="67">
        <f t="shared" si="3"/>
        <v>42557</v>
      </c>
      <c r="C13" s="64">
        <f t="shared" si="0"/>
        <v>0</v>
      </c>
      <c r="D13" s="69">
        <v>128681.62</v>
      </c>
      <c r="E13" s="68">
        <f t="shared" si="2"/>
        <v>128681.62</v>
      </c>
      <c r="F13" s="64">
        <f t="shared" si="1"/>
        <v>0</v>
      </c>
      <c r="G13" s="68">
        <f t="shared" si="4"/>
        <v>128681.62</v>
      </c>
      <c r="H13" s="66">
        <f>C13/SUM($E$8:E13)*SUM($F$8:F13)</f>
        <v>0</v>
      </c>
      <c r="I13" s="66">
        <f>C13/SUM($E$8:E13)*SUM($G$8:G13)</f>
        <v>0</v>
      </c>
    </row>
    <row r="14" spans="2:9">
      <c r="B14" s="67">
        <f t="shared" si="3"/>
        <v>42558</v>
      </c>
      <c r="C14" s="64">
        <f t="shared" si="0"/>
        <v>0</v>
      </c>
      <c r="D14" s="69">
        <v>128726.85</v>
      </c>
      <c r="E14" s="68">
        <f t="shared" si="2"/>
        <v>128726.85</v>
      </c>
      <c r="F14" s="64">
        <f t="shared" si="1"/>
        <v>0</v>
      </c>
      <c r="G14" s="68">
        <f t="shared" si="4"/>
        <v>128726.85</v>
      </c>
      <c r="H14" s="66">
        <f>C14/SUM($E$8:E14)*SUM($F$8:F14)</f>
        <v>0</v>
      </c>
      <c r="I14" s="66">
        <f>C14/SUM($E$8:E14)*SUM($G$8:G14)</f>
        <v>0</v>
      </c>
    </row>
    <row r="15" spans="2:9">
      <c r="B15" s="67">
        <f t="shared" si="3"/>
        <v>42559</v>
      </c>
      <c r="C15" s="64">
        <f t="shared" si="0"/>
        <v>0</v>
      </c>
      <c r="D15" s="69">
        <v>128872.21</v>
      </c>
      <c r="E15" s="68">
        <f t="shared" si="2"/>
        <v>128872.21</v>
      </c>
      <c r="F15" s="64">
        <f t="shared" si="1"/>
        <v>0</v>
      </c>
      <c r="G15" s="68">
        <f t="shared" si="4"/>
        <v>128872.21</v>
      </c>
      <c r="H15" s="66">
        <f>C15/SUM($E$8:E15)*SUM($F$8:F15)</f>
        <v>0</v>
      </c>
      <c r="I15" s="66">
        <f>C15/SUM($E$8:E15)*SUM($G$8:G15)</f>
        <v>0</v>
      </c>
    </row>
    <row r="16" spans="2:9">
      <c r="B16" s="67">
        <f t="shared" si="3"/>
        <v>42560</v>
      </c>
      <c r="C16" s="64">
        <f t="shared" si="0"/>
        <v>0</v>
      </c>
      <c r="D16" s="69">
        <v>128666.44</v>
      </c>
      <c r="E16" s="68">
        <f t="shared" si="2"/>
        <v>128666.44</v>
      </c>
      <c r="F16" s="64">
        <f t="shared" si="1"/>
        <v>0</v>
      </c>
      <c r="G16" s="68">
        <f t="shared" si="4"/>
        <v>128666.44</v>
      </c>
      <c r="H16" s="66">
        <f>C16/SUM($E$8:E16)*SUM($F$8:F16)</f>
        <v>0</v>
      </c>
      <c r="I16" s="66">
        <f>C16/SUM($E$8:E16)*SUM($G$8:G16)</f>
        <v>0</v>
      </c>
    </row>
    <row r="17" spans="2:9">
      <c r="B17" s="67">
        <f t="shared" si="3"/>
        <v>42561</v>
      </c>
      <c r="C17" s="64">
        <f t="shared" si="0"/>
        <v>0</v>
      </c>
      <c r="D17" s="69">
        <v>183101.03</v>
      </c>
      <c r="E17" s="68">
        <f t="shared" si="2"/>
        <v>183101.03</v>
      </c>
      <c r="F17" s="64">
        <f t="shared" si="1"/>
        <v>0</v>
      </c>
      <c r="G17" s="68">
        <f t="shared" si="4"/>
        <v>183101.03</v>
      </c>
      <c r="H17" s="66">
        <f>C17/SUM($E$8:E17)*SUM($F$8:F17)</f>
        <v>0</v>
      </c>
      <c r="I17" s="66">
        <f>C17/SUM($E$8:E17)*SUM($G$8:G17)</f>
        <v>0</v>
      </c>
    </row>
    <row r="18" spans="2:9">
      <c r="B18" s="67">
        <f t="shared" si="3"/>
        <v>42562</v>
      </c>
      <c r="C18" s="64">
        <f t="shared" si="0"/>
        <v>-1489.25</v>
      </c>
      <c r="D18" s="69">
        <v>216265.41</v>
      </c>
      <c r="E18" s="68">
        <f t="shared" si="2"/>
        <v>217754.66</v>
      </c>
      <c r="F18" s="64">
        <f t="shared" si="1"/>
        <v>32225</v>
      </c>
      <c r="G18" s="68">
        <f t="shared" si="4"/>
        <v>185529.66</v>
      </c>
      <c r="H18" s="66">
        <f>C18/SUM($E$8:E18)*SUM($F$8:F18)</f>
        <v>34.019540166696721</v>
      </c>
      <c r="I18" s="66">
        <f>C18/SUM($E$8:E18)*SUM($G$8:G18)</f>
        <v>-1523.2695401666967</v>
      </c>
    </row>
    <row r="19" spans="2:9">
      <c r="B19" s="67">
        <f t="shared" si="3"/>
        <v>42563</v>
      </c>
      <c r="C19" s="64">
        <f t="shared" si="0"/>
        <v>-4922.8100000000004</v>
      </c>
      <c r="D19" s="69">
        <v>672959.67</v>
      </c>
      <c r="E19" s="68">
        <f t="shared" si="2"/>
        <v>677882.4800000001</v>
      </c>
      <c r="F19" s="64">
        <f t="shared" si="1"/>
        <v>147476.62</v>
      </c>
      <c r="G19" s="68">
        <f t="shared" si="4"/>
        <v>530405.8600000001</v>
      </c>
      <c r="H19" s="66">
        <f>C19/SUM($E$8:E19)*SUM($F$8:F19)</f>
        <v>1207.18594713021</v>
      </c>
      <c r="I19" s="66">
        <f>C19/SUM($E$8:E19)*SUM($G$8:G19)</f>
        <v>-6129.99594713021</v>
      </c>
    </row>
    <row r="20" spans="2:9">
      <c r="B20" s="67">
        <f t="shared" si="3"/>
        <v>42564</v>
      </c>
      <c r="C20" s="64">
        <f t="shared" si="0"/>
        <v>125.61000000000013</v>
      </c>
      <c r="D20" s="69">
        <v>1428330</v>
      </c>
      <c r="E20" s="68">
        <f t="shared" si="2"/>
        <v>1428204.39</v>
      </c>
      <c r="F20" s="64">
        <f t="shared" si="1"/>
        <v>1082379.5</v>
      </c>
      <c r="G20" s="68">
        <f t="shared" si="4"/>
        <v>345824.8899999999</v>
      </c>
      <c r="H20" s="66">
        <f>C20/SUM($E$8:E20)*SUM($F$8:F20)</f>
        <v>227.9710946002894</v>
      </c>
      <c r="I20" s="66">
        <f>C20/SUM($E$8:E20)*SUM($G$8:G20)</f>
        <v>-102.36109460028926</v>
      </c>
    </row>
    <row r="21" spans="2:9">
      <c r="B21" s="67">
        <f t="shared" si="3"/>
        <v>42565</v>
      </c>
      <c r="C21" s="64">
        <f t="shared" si="0"/>
        <v>-38465.78</v>
      </c>
      <c r="D21" s="69">
        <v>-330207.58</v>
      </c>
      <c r="E21" s="68">
        <f t="shared" si="2"/>
        <v>-291741.80000000005</v>
      </c>
      <c r="F21" s="64">
        <f t="shared" si="1"/>
        <v>0</v>
      </c>
      <c r="G21" s="68">
        <f t="shared" si="4"/>
        <v>-291741.80000000005</v>
      </c>
      <c r="H21" s="66">
        <f>C21/SUM($E$8:E21)*SUM($F$8:F21)</f>
        <v>-120268.85515816588</v>
      </c>
      <c r="I21" s="66">
        <f>C21/SUM($E$8:E21)*SUM($G$8:G21)</f>
        <v>81803.07515816587</v>
      </c>
    </row>
    <row r="22" spans="2:9">
      <c r="B22" s="67">
        <f t="shared" si="3"/>
        <v>42566</v>
      </c>
      <c r="C22" s="64">
        <f t="shared" si="0"/>
        <v>-686.45999999999981</v>
      </c>
      <c r="D22" s="69">
        <v>1212255.1200000001</v>
      </c>
      <c r="E22" s="68">
        <f t="shared" si="2"/>
        <v>1212941.58</v>
      </c>
      <c r="F22" s="64">
        <f t="shared" si="1"/>
        <v>0</v>
      </c>
      <c r="G22" s="68">
        <f t="shared" si="4"/>
        <v>1212941.58</v>
      </c>
      <c r="H22" s="66">
        <f>C22/SUM($E$8:E22)*SUM($F$8:F22)</f>
        <v>-535.9216165058167</v>
      </c>
      <c r="I22" s="66">
        <f>C22/SUM($E$8:E22)*SUM($G$8:G22)</f>
        <v>-150.53838349418317</v>
      </c>
    </row>
    <row r="23" spans="2:9">
      <c r="B23" s="67">
        <f t="shared" si="3"/>
        <v>42567</v>
      </c>
      <c r="C23" s="64">
        <f t="shared" si="0"/>
        <v>0</v>
      </c>
      <c r="D23" s="69">
        <v>354271.92</v>
      </c>
      <c r="E23" s="68">
        <f t="shared" si="2"/>
        <v>354271.92</v>
      </c>
      <c r="F23" s="64">
        <f t="shared" si="1"/>
        <v>0</v>
      </c>
      <c r="G23" s="68">
        <f t="shared" si="4"/>
        <v>354271.92</v>
      </c>
      <c r="H23" s="66">
        <f>C23/SUM($E$8:E23)*SUM($F$8:F23)</f>
        <v>0</v>
      </c>
      <c r="I23" s="66">
        <f>C23/SUM($E$8:E23)*SUM($G$8:G23)</f>
        <v>0</v>
      </c>
    </row>
    <row r="24" spans="2:9">
      <c r="B24" s="67">
        <f t="shared" si="3"/>
        <v>42568</v>
      </c>
      <c r="C24" s="64">
        <f t="shared" si="0"/>
        <v>0</v>
      </c>
      <c r="D24" s="69">
        <v>349395.41</v>
      </c>
      <c r="E24" s="68">
        <f t="shared" si="2"/>
        <v>349395.41</v>
      </c>
      <c r="F24" s="64">
        <f t="shared" si="1"/>
        <v>0</v>
      </c>
      <c r="G24" s="68">
        <f t="shared" si="4"/>
        <v>349395.41</v>
      </c>
      <c r="H24" s="66">
        <f>C24/SUM($E$8:E24)*SUM($F$8:F24)</f>
        <v>0</v>
      </c>
      <c r="I24" s="66">
        <f>C24/SUM($E$8:E24)*SUM($G$8:G24)</f>
        <v>0</v>
      </c>
    </row>
    <row r="25" spans="2:9">
      <c r="B25" s="67">
        <f t="shared" si="3"/>
        <v>42569</v>
      </c>
      <c r="C25" s="64">
        <f t="shared" si="0"/>
        <v>-7032.2800000000007</v>
      </c>
      <c r="D25" s="69">
        <v>2753509.76</v>
      </c>
      <c r="E25" s="68">
        <f t="shared" si="2"/>
        <v>2760542.0399999996</v>
      </c>
      <c r="F25" s="64">
        <f t="shared" si="1"/>
        <v>0</v>
      </c>
      <c r="G25" s="68">
        <f t="shared" si="4"/>
        <v>2760542.0399999996</v>
      </c>
      <c r="H25" s="66">
        <f>C25/SUM($E$8:E25)*SUM($F$8:F25)</f>
        <v>-1746.8312440759596</v>
      </c>
      <c r="I25" s="66">
        <f>C25/SUM($E$8:E25)*SUM($G$8:G25)</f>
        <v>-5285.4487559240424</v>
      </c>
    </row>
    <row r="26" spans="2:9">
      <c r="B26" s="67">
        <f t="shared" si="3"/>
        <v>42570</v>
      </c>
      <c r="C26" s="64">
        <f t="shared" si="0"/>
        <v>1494.6100000000001</v>
      </c>
      <c r="D26" s="69">
        <v>344439.02</v>
      </c>
      <c r="E26" s="68">
        <f t="shared" si="2"/>
        <v>342944.41000000003</v>
      </c>
      <c r="F26" s="64">
        <f t="shared" si="1"/>
        <v>-2992</v>
      </c>
      <c r="G26" s="68">
        <f t="shared" si="4"/>
        <v>345936.41000000003</v>
      </c>
      <c r="H26" s="66">
        <f>C26/SUM($E$8:E26)*SUM($F$8:F26)</f>
        <v>346.96429830645917</v>
      </c>
      <c r="I26" s="66">
        <f>C26/SUM($E$8:E26)*SUM($G$8:G26)</f>
        <v>1147.645701693541</v>
      </c>
    </row>
    <row r="27" spans="2:9">
      <c r="B27" s="67">
        <f t="shared" si="3"/>
        <v>42571</v>
      </c>
      <c r="C27" s="64">
        <f t="shared" si="0"/>
        <v>9060.91</v>
      </c>
      <c r="D27" s="69">
        <v>380414.22</v>
      </c>
      <c r="E27" s="68">
        <f t="shared" si="2"/>
        <v>371353.31</v>
      </c>
      <c r="F27" s="64">
        <f t="shared" si="1"/>
        <v>-5367</v>
      </c>
      <c r="G27" s="68">
        <f t="shared" si="4"/>
        <v>376720.31</v>
      </c>
      <c r="H27" s="66">
        <f>C27/SUM($E$8:E27)*SUM($F$8:F27)</f>
        <v>1960.252488723504</v>
      </c>
      <c r="I27" s="66">
        <f>C27/SUM($E$8:E27)*SUM($G$8:G27)</f>
        <v>7100.6575112764976</v>
      </c>
    </row>
    <row r="28" spans="2:9">
      <c r="B28" s="67">
        <f t="shared" si="3"/>
        <v>42572</v>
      </c>
      <c r="C28" s="64">
        <f t="shared" si="0"/>
        <v>11583.459999999997</v>
      </c>
      <c r="D28" s="69">
        <v>439087.52</v>
      </c>
      <c r="E28" s="68">
        <f t="shared" si="2"/>
        <v>427504.06</v>
      </c>
      <c r="F28" s="64">
        <f t="shared" si="1"/>
        <v>-10765</v>
      </c>
      <c r="G28" s="68">
        <f t="shared" si="4"/>
        <v>438269.06</v>
      </c>
      <c r="H28" s="66">
        <f>C28/SUM($E$8:E28)*SUM($F$8:F28)</f>
        <v>2313.7803894651588</v>
      </c>
      <c r="I28" s="66">
        <f>C28/SUM($E$8:E28)*SUM($G$8:G28)</f>
        <v>9269.6796105348403</v>
      </c>
    </row>
    <row r="29" spans="2:9">
      <c r="B29" s="67">
        <f t="shared" si="3"/>
        <v>42573</v>
      </c>
      <c r="C29" s="64">
        <f t="shared" si="0"/>
        <v>0</v>
      </c>
      <c r="D29" s="69">
        <v>445517.76</v>
      </c>
      <c r="E29" s="68">
        <f t="shared" si="2"/>
        <v>445517.76</v>
      </c>
      <c r="F29" s="64">
        <f t="shared" si="1"/>
        <v>0</v>
      </c>
      <c r="G29" s="68">
        <f t="shared" si="4"/>
        <v>445517.76</v>
      </c>
      <c r="H29" s="66">
        <f>C29/SUM($E$8:E29)*SUM($F$8:F29)</f>
        <v>0</v>
      </c>
      <c r="I29" s="66">
        <f>C29/SUM($E$8:E29)*SUM($G$8:G29)</f>
        <v>0</v>
      </c>
    </row>
    <row r="30" spans="2:9">
      <c r="B30" s="67">
        <f t="shared" si="3"/>
        <v>42574</v>
      </c>
      <c r="C30" s="64">
        <f t="shared" si="0"/>
        <v>0</v>
      </c>
      <c r="D30" s="69">
        <v>420270.16</v>
      </c>
      <c r="E30" s="68">
        <f t="shared" si="2"/>
        <v>420270.16</v>
      </c>
      <c r="F30" s="64">
        <f t="shared" si="1"/>
        <v>0</v>
      </c>
      <c r="G30" s="68">
        <f t="shared" si="4"/>
        <v>420270.16</v>
      </c>
      <c r="H30" s="66">
        <f>C30/SUM($E$8:E30)*SUM($F$8:F30)</f>
        <v>0</v>
      </c>
      <c r="I30" s="66">
        <f>C30/SUM($E$8:E30)*SUM($G$8:G30)</f>
        <v>0</v>
      </c>
    </row>
    <row r="31" spans="2:9">
      <c r="B31" s="67">
        <f t="shared" si="3"/>
        <v>42575</v>
      </c>
      <c r="C31" s="64">
        <f t="shared" si="0"/>
        <v>0</v>
      </c>
      <c r="D31" s="69">
        <v>418206.93</v>
      </c>
      <c r="E31" s="68">
        <f t="shared" si="2"/>
        <v>418206.93</v>
      </c>
      <c r="F31" s="64">
        <f t="shared" si="1"/>
        <v>0</v>
      </c>
      <c r="G31" s="68">
        <f t="shared" si="4"/>
        <v>418206.93</v>
      </c>
      <c r="H31" s="66">
        <f>C31/SUM($E$8:E31)*SUM($F$8:F31)</f>
        <v>0</v>
      </c>
      <c r="I31" s="66">
        <f>C31/SUM($E$8:E31)*SUM($G$8:G31)</f>
        <v>0</v>
      </c>
    </row>
    <row r="32" spans="2:9">
      <c r="B32" s="67">
        <f t="shared" si="3"/>
        <v>42576</v>
      </c>
      <c r="C32" s="64">
        <f t="shared" si="0"/>
        <v>14872.51</v>
      </c>
      <c r="D32" s="69">
        <v>2118508.91</v>
      </c>
      <c r="E32" s="68">
        <f t="shared" si="2"/>
        <v>2103636.4000000004</v>
      </c>
      <c r="F32" s="64">
        <f t="shared" si="1"/>
        <v>0</v>
      </c>
      <c r="G32" s="68">
        <f t="shared" si="4"/>
        <v>2103636.4000000004</v>
      </c>
      <c r="H32" s="66">
        <f>C32/SUM($E$8:E32)*SUM($F$8:F32)</f>
        <v>1923.5624914709474</v>
      </c>
      <c r="I32" s="66">
        <f>C32/SUM($E$8:E32)*SUM($G$8:G32)</f>
        <v>12948.947508529054</v>
      </c>
    </row>
    <row r="33" spans="2:9">
      <c r="B33" s="67">
        <f t="shared" si="3"/>
        <v>42577</v>
      </c>
      <c r="C33" s="64">
        <f t="shared" si="0"/>
        <v>75281.41</v>
      </c>
      <c r="D33" s="69">
        <v>477139.48</v>
      </c>
      <c r="E33" s="68">
        <f t="shared" si="2"/>
        <v>401858.06999999995</v>
      </c>
      <c r="F33" s="64">
        <f t="shared" si="1"/>
        <v>0</v>
      </c>
      <c r="G33" s="68">
        <f t="shared" si="4"/>
        <v>401858.06999999995</v>
      </c>
      <c r="H33" s="66">
        <f>C33/SUM($E$8:E33)*SUM($F$8:F33)</f>
        <v>9345.8522088123464</v>
      </c>
      <c r="I33" s="66">
        <f>C33/SUM($E$8:E33)*SUM($G$8:G33)</f>
        <v>65935.557791187661</v>
      </c>
    </row>
    <row r="34" spans="2:9">
      <c r="B34" s="67">
        <f t="shared" si="3"/>
        <v>42578</v>
      </c>
      <c r="C34" s="64">
        <f t="shared" si="0"/>
        <v>25670.329999999998</v>
      </c>
      <c r="D34" s="69">
        <v>387410.28</v>
      </c>
      <c r="E34" s="68">
        <f t="shared" si="2"/>
        <v>361739.95</v>
      </c>
      <c r="F34" s="64">
        <f t="shared" si="1"/>
        <v>-8408</v>
      </c>
      <c r="G34" s="68">
        <f t="shared" si="4"/>
        <v>370147.95</v>
      </c>
      <c r="H34" s="66">
        <f>C34/SUM($E$8:E34)*SUM($F$8:F34)</f>
        <v>3054.9244352297355</v>
      </c>
      <c r="I34" s="66">
        <f>C34/SUM($E$8:E34)*SUM($G$8:G34)</f>
        <v>22615.405564770266</v>
      </c>
    </row>
    <row r="35" spans="2:9">
      <c r="B35" s="67">
        <f t="shared" si="3"/>
        <v>42579</v>
      </c>
      <c r="C35" s="64">
        <f t="shared" si="0"/>
        <v>26852.91</v>
      </c>
      <c r="D35" s="69">
        <v>420181.33</v>
      </c>
      <c r="E35" s="68">
        <f t="shared" si="2"/>
        <v>393328.42000000004</v>
      </c>
      <c r="F35" s="64">
        <f t="shared" si="1"/>
        <v>0</v>
      </c>
      <c r="G35" s="68">
        <f t="shared" si="4"/>
        <v>393328.42000000004</v>
      </c>
      <c r="H35" s="66">
        <f>C35/SUM($E$8:E35)*SUM($F$8:F35)</f>
        <v>3078.9200296908762</v>
      </c>
      <c r="I35" s="66">
        <f>C35/SUM($E$8:E35)*SUM($G$8:G35)</f>
        <v>23773.989970309125</v>
      </c>
    </row>
    <row r="36" spans="2:9">
      <c r="B36" s="67">
        <f t="shared" si="3"/>
        <v>42580</v>
      </c>
      <c r="C36" s="64">
        <f t="shared" si="0"/>
        <v>29850.62</v>
      </c>
      <c r="D36" s="69">
        <v>404313.5</v>
      </c>
      <c r="E36" s="68">
        <f t="shared" si="2"/>
        <v>374462.88</v>
      </c>
      <c r="F36" s="64">
        <f t="shared" si="1"/>
        <v>0</v>
      </c>
      <c r="G36" s="68">
        <f t="shared" si="4"/>
        <v>374462.88</v>
      </c>
      <c r="H36" s="66">
        <f>C36/SUM($E$8:E36)*SUM($F$8:F36)</f>
        <v>3307.6010872184861</v>
      </c>
      <c r="I36" s="66">
        <f>C36/SUM($E$8:E36)*SUM($G$8:G36)</f>
        <v>26543.018912781514</v>
      </c>
    </row>
    <row r="37" spans="2:9">
      <c r="B37" s="67">
        <f t="shared" si="3"/>
        <v>42581</v>
      </c>
      <c r="C37" s="64">
        <f t="shared" si="0"/>
        <v>0</v>
      </c>
      <c r="D37" s="69">
        <v>420467.99</v>
      </c>
      <c r="E37" s="68">
        <f t="shared" si="2"/>
        <v>420467.99</v>
      </c>
      <c r="F37" s="64">
        <f t="shared" si="1"/>
        <v>0</v>
      </c>
      <c r="G37" s="68">
        <f t="shared" si="4"/>
        <v>420467.99</v>
      </c>
      <c r="H37" s="66">
        <f>C37/SUM($E$8:E37)*SUM($F$8:F37)</f>
        <v>0</v>
      </c>
      <c r="I37" s="66">
        <f>C37/SUM($E$8:E37)*SUM($G$8:G37)</f>
        <v>0</v>
      </c>
    </row>
    <row r="38" spans="2:9">
      <c r="B38" s="67">
        <f t="shared" si="3"/>
        <v>42582</v>
      </c>
      <c r="C38" s="64">
        <f t="shared" si="0"/>
        <v>-244963.83</v>
      </c>
      <c r="D38" s="69">
        <v>421913.02</v>
      </c>
      <c r="E38" s="68">
        <f t="shared" si="2"/>
        <v>666876.85</v>
      </c>
      <c r="F38" s="64">
        <f t="shared" si="1"/>
        <v>0</v>
      </c>
      <c r="G38" s="68">
        <f t="shared" si="4"/>
        <v>666876.85</v>
      </c>
      <c r="H38" s="66">
        <f>C38/SUM($E$8:E38)*SUM($F$8:F38)</f>
        <v>-24729.788541460195</v>
      </c>
      <c r="I38" s="66">
        <f>C38/SUM($E$8:E38)*SUM($G$8:G38)</f>
        <v>-220234.04145853981</v>
      </c>
    </row>
    <row r="39" spans="2:9">
      <c r="B39" s="67">
        <f t="shared" si="3"/>
        <v>42583</v>
      </c>
      <c r="C39" s="64">
        <f t="shared" si="0"/>
        <v>0</v>
      </c>
      <c r="D39" s="69">
        <v>351057.29</v>
      </c>
      <c r="E39" s="68">
        <f t="shared" si="2"/>
        <v>351057.29</v>
      </c>
      <c r="F39" s="64">
        <f t="shared" si="1"/>
        <v>0</v>
      </c>
      <c r="G39" s="68">
        <f t="shared" si="4"/>
        <v>351057.29</v>
      </c>
      <c r="H39" s="66">
        <f>C39/SUM($E$8:E39)*SUM($F$8:F39)</f>
        <v>0</v>
      </c>
      <c r="I39" s="66">
        <f>C39/SUM($E$8:E39)*SUM($G$8:G39)</f>
        <v>0</v>
      </c>
    </row>
    <row r="40" spans="2:9">
      <c r="B40" s="67">
        <f t="shared" si="3"/>
        <v>42584</v>
      </c>
      <c r="C40" s="64">
        <f t="shared" si="0"/>
        <v>19571.059999999998</v>
      </c>
      <c r="D40" s="69">
        <v>379217.57</v>
      </c>
      <c r="E40" s="68">
        <f t="shared" si="2"/>
        <v>359646.51</v>
      </c>
      <c r="F40" s="64">
        <f t="shared" si="1"/>
        <v>0</v>
      </c>
      <c r="G40" s="68">
        <f t="shared" si="4"/>
        <v>359646.51</v>
      </c>
      <c r="H40" s="66">
        <f>C40/SUM($E$8:E40)*SUM($F$8:F40)</f>
        <v>1867.2365595165347</v>
      </c>
      <c r="I40" s="66">
        <f>C40/SUM($E$8:E40)*SUM($G$8:G40)</f>
        <v>17703.823440483466</v>
      </c>
    </row>
    <row r="41" spans="2:9">
      <c r="B41" s="67">
        <f t="shared" si="3"/>
        <v>42585</v>
      </c>
      <c r="C41" s="64">
        <f t="shared" si="0"/>
        <v>-10061.359999999999</v>
      </c>
      <c r="D41" s="69">
        <v>-130402.58</v>
      </c>
      <c r="E41" s="68">
        <f t="shared" si="2"/>
        <v>-120341.22</v>
      </c>
      <c r="F41" s="64">
        <f t="shared" si="1"/>
        <v>-493301</v>
      </c>
      <c r="G41" s="68">
        <f t="shared" si="4"/>
        <v>372959.78</v>
      </c>
      <c r="H41" s="66">
        <f>C41/SUM($E$8:E41)*SUM($F$8:F41)</f>
        <v>-581.77469306867022</v>
      </c>
      <c r="I41" s="66">
        <f>C41/SUM($E$8:E41)*SUM($G$8:G41)</f>
        <v>-9479.5853069313307</v>
      </c>
    </row>
    <row r="42" spans="2:9">
      <c r="B42" s="67">
        <f t="shared" si="3"/>
        <v>42586</v>
      </c>
      <c r="C42" s="64">
        <f t="shared" si="0"/>
        <v>108385.25</v>
      </c>
      <c r="D42" s="69">
        <v>-725426.13</v>
      </c>
      <c r="E42" s="68">
        <f t="shared" si="2"/>
        <v>-833811.38</v>
      </c>
      <c r="F42" s="64">
        <f t="shared" si="1"/>
        <v>-1064650</v>
      </c>
      <c r="G42" s="68">
        <f t="shared" si="4"/>
        <v>230838.62</v>
      </c>
      <c r="H42" s="66">
        <f>C42/SUM($E$8:E42)*SUM($F$8:F42)</f>
        <v>-2924.527725336372</v>
      </c>
      <c r="I42" s="66">
        <f>C42/SUM($E$8:E42)*SUM($G$8:G42)</f>
        <v>111309.77772533637</v>
      </c>
    </row>
    <row r="43" spans="2:9">
      <c r="B43" s="67">
        <f t="shared" si="3"/>
        <v>42587</v>
      </c>
      <c r="C43" s="64">
        <f t="shared" si="0"/>
        <v>-21098.559999999998</v>
      </c>
      <c r="D43" s="69">
        <v>479993.8</v>
      </c>
      <c r="E43" s="68">
        <f t="shared" si="2"/>
        <v>501092.36</v>
      </c>
      <c r="F43" s="64">
        <f t="shared" si="1"/>
        <v>49450</v>
      </c>
      <c r="G43" s="68">
        <f t="shared" si="4"/>
        <v>451642.36</v>
      </c>
      <c r="H43" s="66">
        <f>C43/SUM($E$8:E43)*SUM($F$8:F43)</f>
        <v>462.8948775745414</v>
      </c>
      <c r="I43" s="66">
        <f>C43/SUM($E$8:E43)*SUM($G$8:G43)</f>
        <v>-21561.454877574542</v>
      </c>
    </row>
    <row r="44" spans="2:9">
      <c r="B44" s="67">
        <f t="shared" si="3"/>
        <v>42588</v>
      </c>
      <c r="C44" s="64">
        <f t="shared" si="0"/>
        <v>0</v>
      </c>
      <c r="D44" s="69">
        <v>409149.41</v>
      </c>
      <c r="E44" s="68">
        <f t="shared" si="2"/>
        <v>409149.41</v>
      </c>
      <c r="F44" s="64">
        <f t="shared" si="1"/>
        <v>0</v>
      </c>
      <c r="G44" s="68">
        <f t="shared" si="4"/>
        <v>409149.41</v>
      </c>
      <c r="H44" s="66">
        <f>C44/SUM($E$8:E44)*SUM($F$8:F44)</f>
        <v>0</v>
      </c>
      <c r="I44" s="66">
        <f>C44/SUM($E$8:E44)*SUM($G$8:G44)</f>
        <v>0</v>
      </c>
    </row>
    <row r="45" spans="2:9">
      <c r="B45" s="67">
        <f t="shared" si="3"/>
        <v>42589</v>
      </c>
      <c r="C45" s="64">
        <f t="shared" si="0"/>
        <v>0</v>
      </c>
      <c r="D45" s="69">
        <v>405120.07</v>
      </c>
      <c r="E45" s="68">
        <f t="shared" si="2"/>
        <v>405120.07</v>
      </c>
      <c r="F45" s="64">
        <f t="shared" si="1"/>
        <v>0</v>
      </c>
      <c r="G45" s="68">
        <f t="shared" si="4"/>
        <v>405120.07</v>
      </c>
      <c r="H45" s="66">
        <f>C45/SUM($E$8:E45)*SUM($F$8:F45)</f>
        <v>0</v>
      </c>
      <c r="I45" s="66">
        <f>C45/SUM($E$8:E45)*SUM($G$8:G45)</f>
        <v>0</v>
      </c>
    </row>
    <row r="46" spans="2:9">
      <c r="B46" s="67">
        <f t="shared" si="3"/>
        <v>42590</v>
      </c>
      <c r="C46" s="64">
        <f t="shared" si="0"/>
        <v>343996.91</v>
      </c>
      <c r="D46" s="69">
        <v>298549.7</v>
      </c>
      <c r="E46" s="68">
        <f t="shared" si="2"/>
        <v>-45447.209999999963</v>
      </c>
      <c r="F46" s="64">
        <f t="shared" si="1"/>
        <v>-95600</v>
      </c>
      <c r="G46" s="68">
        <f t="shared" si="4"/>
        <v>50152.790000000037</v>
      </c>
      <c r="H46" s="66">
        <f>C46/SUM($E$8:E46)*SUM($F$8:F46)</f>
        <v>-9590.3817478399451</v>
      </c>
      <c r="I46" s="66">
        <f>C46/SUM($E$8:E46)*SUM($G$8:G46)</f>
        <v>353587.29174783995</v>
      </c>
    </row>
    <row r="47" spans="2:9">
      <c r="B47" s="67">
        <f t="shared" si="3"/>
        <v>42591</v>
      </c>
      <c r="C47" s="64">
        <f t="shared" si="0"/>
        <v>32223.709999999995</v>
      </c>
      <c r="D47" s="69">
        <v>-1028611.69</v>
      </c>
      <c r="E47" s="68">
        <f t="shared" si="2"/>
        <v>-1060835.3999999999</v>
      </c>
      <c r="F47" s="64">
        <f t="shared" si="1"/>
        <v>-1393050</v>
      </c>
      <c r="G47" s="68">
        <f t="shared" si="4"/>
        <v>332214.60000000009</v>
      </c>
      <c r="H47" s="66">
        <f>C47/SUM($E$8:E47)*SUM($F$8:F47)</f>
        <v>-4657.5994750095979</v>
      </c>
      <c r="I47" s="66">
        <f>C47/SUM($E$8:E47)*SUM($G$8:G47)</f>
        <v>36881.309475009606</v>
      </c>
    </row>
    <row r="48" spans="2:9">
      <c r="B48" s="67">
        <f t="shared" si="3"/>
        <v>42592</v>
      </c>
      <c r="C48" s="64">
        <f t="shared" si="0"/>
        <v>369941.78</v>
      </c>
      <c r="D48" s="69">
        <v>375591.82</v>
      </c>
      <c r="E48" s="68">
        <f t="shared" si="2"/>
        <v>5650.039999999979</v>
      </c>
      <c r="F48" s="64">
        <f t="shared" si="1"/>
        <v>0</v>
      </c>
      <c r="G48" s="68">
        <f t="shared" si="4"/>
        <v>5650.039999999979</v>
      </c>
      <c r="H48" s="66">
        <f>C48/SUM($E$8:E48)*SUM($F$8:F48)</f>
        <v>-53446.443181268347</v>
      </c>
      <c r="I48" s="66">
        <f>C48/SUM($E$8:E48)*SUM($G$8:G48)</f>
        <v>423388.22318126843</v>
      </c>
    </row>
    <row r="49" spans="2:9">
      <c r="B49" s="67">
        <f t="shared" si="3"/>
        <v>42593</v>
      </c>
      <c r="C49" s="64">
        <f t="shared" si="0"/>
        <v>43456.049999999996</v>
      </c>
      <c r="D49" s="69">
        <v>-282955.75</v>
      </c>
      <c r="E49" s="68">
        <f t="shared" si="2"/>
        <v>-326411.8</v>
      </c>
      <c r="F49" s="64">
        <f t="shared" si="1"/>
        <v>-688000</v>
      </c>
      <c r="G49" s="68">
        <f t="shared" si="4"/>
        <v>361588.2</v>
      </c>
      <c r="H49" s="66">
        <f>C49/SUM($E$8:E49)*SUM($F$8:F49)</f>
        <v>-8968.7477483747807</v>
      </c>
      <c r="I49" s="66">
        <f>C49/SUM($E$8:E49)*SUM($G$8:G49)</f>
        <v>52424.797748374789</v>
      </c>
    </row>
    <row r="50" spans="2:9">
      <c r="B50" s="67">
        <f t="shared" si="3"/>
        <v>42594</v>
      </c>
      <c r="C50" s="64">
        <f t="shared" si="0"/>
        <v>-17128.759999999998</v>
      </c>
      <c r="D50" s="69">
        <v>414079.23</v>
      </c>
      <c r="E50" s="68">
        <f t="shared" si="2"/>
        <v>431207.99</v>
      </c>
      <c r="F50" s="64">
        <f t="shared" si="1"/>
        <v>0</v>
      </c>
      <c r="G50" s="68">
        <f t="shared" si="4"/>
        <v>431207.99</v>
      </c>
      <c r="H50" s="66">
        <f>C50/SUM($E$8:E50)*SUM($F$8:F50)</f>
        <v>3411.2642801223378</v>
      </c>
      <c r="I50" s="66">
        <f>C50/SUM($E$8:E50)*SUM($G$8:G50)</f>
        <v>-20540.024280122339</v>
      </c>
    </row>
    <row r="51" spans="2:9">
      <c r="B51" s="67">
        <f t="shared" si="3"/>
        <v>42595</v>
      </c>
      <c r="C51" s="64">
        <f t="shared" si="0"/>
        <v>0</v>
      </c>
      <c r="D51" s="69">
        <v>412686.37</v>
      </c>
      <c r="E51" s="68">
        <f t="shared" si="2"/>
        <v>412686.37</v>
      </c>
      <c r="F51" s="64">
        <f t="shared" si="1"/>
        <v>0</v>
      </c>
      <c r="G51" s="68">
        <f t="shared" si="4"/>
        <v>412686.37</v>
      </c>
      <c r="H51" s="66">
        <f>C51/SUM($E$8:E51)*SUM($F$8:F51)</f>
        <v>0</v>
      </c>
      <c r="I51" s="66">
        <f>C51/SUM($E$8:E51)*SUM($G$8:G51)</f>
        <v>0</v>
      </c>
    </row>
    <row r="52" spans="2:9">
      <c r="B52" s="67">
        <f t="shared" si="3"/>
        <v>42596</v>
      </c>
      <c r="C52" s="64">
        <f t="shared" si="0"/>
        <v>0</v>
      </c>
      <c r="D52" s="69">
        <v>411646.58</v>
      </c>
      <c r="E52" s="68">
        <f t="shared" si="2"/>
        <v>411646.58</v>
      </c>
      <c r="F52" s="64">
        <f t="shared" si="1"/>
        <v>0</v>
      </c>
      <c r="G52" s="68">
        <f t="shared" si="4"/>
        <v>411646.58</v>
      </c>
      <c r="H52" s="66">
        <f>C52/SUM($E$8:E52)*SUM($F$8:F52)</f>
        <v>0</v>
      </c>
      <c r="I52" s="66">
        <f>C52/SUM($E$8:E52)*SUM($G$8:G52)</f>
        <v>0</v>
      </c>
    </row>
    <row r="53" spans="2:9">
      <c r="B53" s="67">
        <f t="shared" si="3"/>
        <v>42597</v>
      </c>
      <c r="C53" s="64">
        <f t="shared" si="0"/>
        <v>231975.11</v>
      </c>
      <c r="D53" s="69">
        <v>74957.710000000006</v>
      </c>
      <c r="E53" s="68">
        <f t="shared" si="2"/>
        <v>-157017.39999999997</v>
      </c>
      <c r="F53" s="64">
        <f t="shared" si="1"/>
        <v>0</v>
      </c>
      <c r="G53" s="68">
        <f t="shared" si="4"/>
        <v>-157017.39999999997</v>
      </c>
      <c r="H53" s="66">
        <f>C53/SUM($E$8:E53)*SUM($F$8:F53)</f>
        <v>-43822.286420450015</v>
      </c>
      <c r="I53" s="66">
        <f>C53/SUM($E$8:E53)*SUM($G$8:G53)</f>
        <v>275797.39642045001</v>
      </c>
    </row>
    <row r="54" spans="2:9">
      <c r="B54" s="67">
        <f t="shared" si="3"/>
        <v>42598</v>
      </c>
      <c r="C54" s="64">
        <f t="shared" si="0"/>
        <v>-666.89000000000033</v>
      </c>
      <c r="D54" s="69">
        <v>456035.44</v>
      </c>
      <c r="E54" s="68">
        <f t="shared" si="2"/>
        <v>456702.33</v>
      </c>
      <c r="F54" s="64">
        <f t="shared" si="1"/>
        <v>0</v>
      </c>
      <c r="G54" s="68">
        <f t="shared" si="4"/>
        <v>456702.33</v>
      </c>
      <c r="H54" s="66">
        <f>C54/SUM($E$8:E54)*SUM($F$8:F54)</f>
        <v>121.69735971090398</v>
      </c>
      <c r="I54" s="66">
        <f>C54/SUM($E$8:E54)*SUM($G$8:G54)</f>
        <v>-788.58735971090448</v>
      </c>
    </row>
    <row r="55" spans="2:9">
      <c r="B55" s="67">
        <f t="shared" si="3"/>
        <v>42599</v>
      </c>
      <c r="C55" s="64">
        <f t="shared" si="0"/>
        <v>-4450.6299999999992</v>
      </c>
      <c r="D55" s="69">
        <v>423809.27</v>
      </c>
      <c r="E55" s="68">
        <f t="shared" si="2"/>
        <v>428259.9</v>
      </c>
      <c r="F55" s="64">
        <f t="shared" si="1"/>
        <v>0</v>
      </c>
      <c r="G55" s="68">
        <f t="shared" si="4"/>
        <v>428259.9</v>
      </c>
      <c r="H55" s="66">
        <f>C55/SUM($E$8:E55)*SUM($F$8:F55)</f>
        <v>787.07264627998461</v>
      </c>
      <c r="I55" s="66">
        <f>C55/SUM($E$8:E55)*SUM($G$8:G55)</f>
        <v>-5237.7026462799849</v>
      </c>
    </row>
    <row r="56" spans="2:9">
      <c r="B56" s="67">
        <f t="shared" si="3"/>
        <v>42600</v>
      </c>
      <c r="C56" s="64">
        <f t="shared" si="0"/>
        <v>40190.340000000004</v>
      </c>
      <c r="D56" s="69">
        <v>65405.22</v>
      </c>
      <c r="E56" s="68">
        <f t="shared" si="2"/>
        <v>25214.879999999997</v>
      </c>
      <c r="F56" s="64">
        <f t="shared" si="1"/>
        <v>-326800</v>
      </c>
      <c r="G56" s="68">
        <f t="shared" si="4"/>
        <v>352014.88</v>
      </c>
      <c r="H56" s="66">
        <f>C56/SUM($E$8:E56)*SUM($F$8:F56)</f>
        <v>-8040.6552978102645</v>
      </c>
      <c r="I56" s="66">
        <f>C56/SUM($E$8:E56)*SUM($G$8:G56)</f>
        <v>48230.995297810274</v>
      </c>
    </row>
    <row r="57" spans="2:9">
      <c r="B57" s="67">
        <f t="shared" si="3"/>
        <v>42601</v>
      </c>
      <c r="C57" s="64">
        <f t="shared" si="0"/>
        <v>10083.749999999998</v>
      </c>
      <c r="D57" s="69">
        <v>400364.97</v>
      </c>
      <c r="E57" s="68">
        <f t="shared" si="2"/>
        <v>390281.22</v>
      </c>
      <c r="F57" s="64">
        <f t="shared" si="1"/>
        <v>0</v>
      </c>
      <c r="G57" s="68">
        <f t="shared" si="4"/>
        <v>390281.22</v>
      </c>
      <c r="H57" s="66">
        <f>C57/SUM($E$8:E57)*SUM($F$8:F57)</f>
        <v>-1962.2346590762932</v>
      </c>
      <c r="I57" s="66">
        <f>C57/SUM($E$8:E57)*SUM($G$8:G57)</f>
        <v>12045.984659076292</v>
      </c>
    </row>
    <row r="58" spans="2:9">
      <c r="B58" s="67">
        <f t="shared" si="3"/>
        <v>42602</v>
      </c>
      <c r="C58" s="64">
        <f t="shared" si="0"/>
        <v>0</v>
      </c>
      <c r="D58" s="69">
        <v>412696.75</v>
      </c>
      <c r="E58" s="68">
        <f t="shared" si="2"/>
        <v>412696.75</v>
      </c>
      <c r="F58" s="64">
        <f t="shared" si="1"/>
        <v>0</v>
      </c>
      <c r="G58" s="68">
        <f t="shared" si="4"/>
        <v>412696.75</v>
      </c>
      <c r="H58" s="66">
        <f>C58/SUM($E$8:E58)*SUM($F$8:F58)</f>
        <v>0</v>
      </c>
      <c r="I58" s="66">
        <f>C58/SUM($E$8:E58)*SUM($G$8:G58)</f>
        <v>0</v>
      </c>
    </row>
    <row r="59" spans="2:9">
      <c r="B59" s="67">
        <f t="shared" si="3"/>
        <v>42603</v>
      </c>
      <c r="C59" s="64">
        <f t="shared" si="0"/>
        <v>0</v>
      </c>
      <c r="D59" s="69">
        <v>412467.45</v>
      </c>
      <c r="E59" s="68">
        <f t="shared" si="2"/>
        <v>412467.45</v>
      </c>
      <c r="F59" s="64">
        <f t="shared" si="1"/>
        <v>0</v>
      </c>
      <c r="G59" s="68">
        <f t="shared" si="4"/>
        <v>412467.45</v>
      </c>
      <c r="H59" s="66">
        <f>C59/SUM($E$8:E59)*SUM($F$8:F59)</f>
        <v>0</v>
      </c>
      <c r="I59" s="66">
        <f>C59/SUM($E$8:E59)*SUM($G$8:G59)</f>
        <v>0</v>
      </c>
    </row>
    <row r="60" spans="2:9">
      <c r="B60" s="67">
        <f t="shared" si="3"/>
        <v>42604</v>
      </c>
      <c r="C60" s="64">
        <f t="shared" si="0"/>
        <v>3246.7599999999998</v>
      </c>
      <c r="D60" s="69">
        <v>398939.95</v>
      </c>
      <c r="E60" s="68">
        <f t="shared" si="2"/>
        <v>395693.19</v>
      </c>
      <c r="F60" s="64">
        <f t="shared" si="1"/>
        <v>0</v>
      </c>
      <c r="G60" s="68">
        <f t="shared" si="4"/>
        <v>395693.19</v>
      </c>
      <c r="H60" s="66">
        <f>C60/SUM($E$8:E60)*SUM($F$8:F60)</f>
        <v>-582.01522328695251</v>
      </c>
      <c r="I60" s="66">
        <f>C60/SUM($E$8:E60)*SUM($G$8:G60)</f>
        <v>3828.775223286953</v>
      </c>
    </row>
    <row r="61" spans="2:9">
      <c r="B61" s="67">
        <f t="shared" si="3"/>
        <v>42605</v>
      </c>
      <c r="C61" s="64">
        <f t="shared" si="0"/>
        <v>10805.47</v>
      </c>
      <c r="D61" s="69">
        <v>94704.85</v>
      </c>
      <c r="E61" s="68">
        <f t="shared" si="2"/>
        <v>83899.38</v>
      </c>
      <c r="F61" s="64">
        <f t="shared" si="1"/>
        <v>0</v>
      </c>
      <c r="G61" s="68">
        <f t="shared" si="4"/>
        <v>83899.38</v>
      </c>
      <c r="H61" s="66">
        <f>C61/SUM($E$8:E61)*SUM($F$8:F61)</f>
        <v>-1926.5595085562668</v>
      </c>
      <c r="I61" s="66">
        <f>C61/SUM($E$8:E61)*SUM($G$8:G61)</f>
        <v>12732.029508556267</v>
      </c>
    </row>
    <row r="62" spans="2:9">
      <c r="B62" s="67">
        <f t="shared" si="3"/>
        <v>42606</v>
      </c>
      <c r="C62" s="64">
        <f t="shared" si="0"/>
        <v>-35696.509999999995</v>
      </c>
      <c r="D62" s="69">
        <v>415544.2</v>
      </c>
      <c r="E62" s="68">
        <f t="shared" si="2"/>
        <v>451240.71</v>
      </c>
      <c r="F62" s="64">
        <f t="shared" si="1"/>
        <v>0</v>
      </c>
      <c r="G62" s="68">
        <f t="shared" si="4"/>
        <v>451240.71</v>
      </c>
      <c r="H62" s="66">
        <f>C62/SUM($E$8:E62)*SUM($F$8:F62)</f>
        <v>6185.3309589400887</v>
      </c>
      <c r="I62" s="66">
        <f>C62/SUM($E$8:E62)*SUM($G$8:G62)</f>
        <v>-41881.840958940091</v>
      </c>
    </row>
    <row r="63" spans="2:9">
      <c r="B63" s="67">
        <f t="shared" si="3"/>
        <v>42607</v>
      </c>
      <c r="C63" s="64">
        <f t="shared" si="0"/>
        <v>14119.509999999998</v>
      </c>
      <c r="D63" s="69">
        <v>412862.65</v>
      </c>
      <c r="E63" s="68">
        <f t="shared" si="2"/>
        <v>398743.14</v>
      </c>
      <c r="F63" s="64">
        <f t="shared" si="1"/>
        <v>0</v>
      </c>
      <c r="G63" s="68">
        <f t="shared" si="4"/>
        <v>398743.14</v>
      </c>
      <c r="H63" s="66">
        <f>C63/SUM($E$8:E63)*SUM($F$8:F63)</f>
        <v>-2387.18027056657</v>
      </c>
      <c r="I63" s="66">
        <f>C63/SUM($E$8:E63)*SUM($G$8:G63)</f>
        <v>16506.690270566567</v>
      </c>
    </row>
    <row r="64" spans="2:9">
      <c r="B64" s="67">
        <f t="shared" si="3"/>
        <v>42608</v>
      </c>
      <c r="C64" s="64">
        <f t="shared" si="0"/>
        <v>-1827.8199999999883</v>
      </c>
      <c r="D64" s="69">
        <v>537947.38</v>
      </c>
      <c r="E64" s="68">
        <f t="shared" si="2"/>
        <v>539775.19999999995</v>
      </c>
      <c r="F64" s="64">
        <f t="shared" si="1"/>
        <v>0</v>
      </c>
      <c r="G64" s="68">
        <f t="shared" si="4"/>
        <v>539775.19999999995</v>
      </c>
      <c r="H64" s="66">
        <f>C64/SUM($E$8:E64)*SUM($F$8:F64)</f>
        <v>299.19783104676804</v>
      </c>
      <c r="I64" s="66">
        <f>C64/SUM($E$8:E64)*SUM($G$8:G64)</f>
        <v>-2127.0178310467563</v>
      </c>
    </row>
    <row r="65" spans="2:9">
      <c r="B65" s="67">
        <f t="shared" si="3"/>
        <v>42609</v>
      </c>
      <c r="C65" s="64">
        <f t="shared" si="0"/>
        <v>0</v>
      </c>
      <c r="D65" s="69">
        <v>331483.08</v>
      </c>
      <c r="E65" s="68">
        <f t="shared" si="2"/>
        <v>331483.08</v>
      </c>
      <c r="F65" s="64">
        <f t="shared" si="1"/>
        <v>0</v>
      </c>
      <c r="G65" s="68">
        <f t="shared" si="4"/>
        <v>331483.08</v>
      </c>
      <c r="H65" s="66">
        <f>C65/SUM($E$8:E65)*SUM($F$8:F65)</f>
        <v>0</v>
      </c>
      <c r="I65" s="66">
        <f>C65/SUM($E$8:E65)*SUM($G$8:G65)</f>
        <v>0</v>
      </c>
    </row>
    <row r="66" spans="2:9">
      <c r="B66" s="67">
        <f t="shared" si="3"/>
        <v>42610</v>
      </c>
      <c r="C66" s="64">
        <f t="shared" si="0"/>
        <v>0</v>
      </c>
      <c r="D66" s="69">
        <v>414895.71</v>
      </c>
      <c r="E66" s="68">
        <f t="shared" si="2"/>
        <v>414895.71</v>
      </c>
      <c r="F66" s="64">
        <f t="shared" si="1"/>
        <v>0</v>
      </c>
      <c r="G66" s="68">
        <f t="shared" si="4"/>
        <v>414895.71</v>
      </c>
      <c r="H66" s="66">
        <f>C66/SUM($E$8:E66)*SUM($F$8:F66)</f>
        <v>0</v>
      </c>
      <c r="I66" s="66">
        <f>C66/SUM($E$8:E66)*SUM($G$8:G66)</f>
        <v>0</v>
      </c>
    </row>
    <row r="67" spans="2:9">
      <c r="B67" s="67">
        <f t="shared" si="3"/>
        <v>42611</v>
      </c>
      <c r="C67" s="64">
        <f t="shared" si="0"/>
        <v>1551.6599999999999</v>
      </c>
      <c r="D67" s="69">
        <v>-484714.49</v>
      </c>
      <c r="E67" s="68">
        <f t="shared" si="2"/>
        <v>-486266.14999999997</v>
      </c>
      <c r="F67" s="64">
        <f t="shared" si="1"/>
        <v>0</v>
      </c>
      <c r="G67" s="68">
        <f t="shared" si="4"/>
        <v>-486266.14999999997</v>
      </c>
      <c r="H67" s="66">
        <f>C67/SUM($E$8:E67)*SUM($F$8:F67)</f>
        <v>-250.15793173292437</v>
      </c>
      <c r="I67" s="66">
        <f>C67/SUM($E$8:E67)*SUM($G$8:G67)</f>
        <v>1801.8179317329241</v>
      </c>
    </row>
    <row r="68" spans="2:9">
      <c r="B68" s="67">
        <f t="shared" si="3"/>
        <v>42612</v>
      </c>
      <c r="C68" s="64">
        <f t="shared" si="0"/>
        <v>33062.719999999994</v>
      </c>
      <c r="D68" s="69">
        <v>520574.64</v>
      </c>
      <c r="E68" s="68">
        <f t="shared" si="2"/>
        <v>487511.92000000004</v>
      </c>
      <c r="F68" s="64">
        <f t="shared" si="1"/>
        <v>0</v>
      </c>
      <c r="G68" s="68">
        <f t="shared" si="4"/>
        <v>487511.92000000004</v>
      </c>
      <c r="H68" s="66">
        <f>C68/SUM($E$8:E68)*SUM($F$8:F68)</f>
        <v>-5183.6666766631388</v>
      </c>
      <c r="I68" s="66">
        <f>C68/SUM($E$8:E68)*SUM($G$8:G68)</f>
        <v>38246.386676663133</v>
      </c>
    </row>
    <row r="69" spans="2:9">
      <c r="B69" s="67">
        <f t="shared" si="3"/>
        <v>42613</v>
      </c>
      <c r="C69" s="64">
        <f t="shared" si="0"/>
        <v>2791.2100000000009</v>
      </c>
      <c r="D69" s="69">
        <v>236024.41</v>
      </c>
      <c r="E69" s="68">
        <f t="shared" si="2"/>
        <v>233233.2</v>
      </c>
      <c r="F69" s="64">
        <f t="shared" si="1"/>
        <v>0</v>
      </c>
      <c r="G69" s="68">
        <f t="shared" si="4"/>
        <v>233233.2</v>
      </c>
      <c r="H69" s="66">
        <f>C69/SUM($E$8:E69)*SUM($F$8:F69)</f>
        <v>-431.92708836539833</v>
      </c>
      <c r="I69" s="66">
        <f>C69/SUM($E$8:E69)*SUM($G$8:G69)</f>
        <v>3223.1370883653994</v>
      </c>
    </row>
    <row r="70" spans="2:9">
      <c r="B70" s="67">
        <f t="shared" si="3"/>
        <v>42614</v>
      </c>
      <c r="C70" s="64">
        <f t="shared" si="0"/>
        <v>0</v>
      </c>
      <c r="D70" s="69">
        <v>429634.02</v>
      </c>
      <c r="E70" s="68">
        <f t="shared" si="2"/>
        <v>429634.02</v>
      </c>
      <c r="F70" s="64">
        <f t="shared" si="1"/>
        <v>0</v>
      </c>
      <c r="G70" s="68">
        <f t="shared" si="4"/>
        <v>429634.02</v>
      </c>
      <c r="H70" s="66">
        <f>C70/SUM($E$8:E70)*SUM($F$8:F70)</f>
        <v>0</v>
      </c>
      <c r="I70" s="66">
        <f>C70/SUM($E$8:E70)*SUM($G$8:G70)</f>
        <v>0</v>
      </c>
    </row>
    <row r="71" spans="2:9">
      <c r="B71" s="67">
        <f t="shared" si="3"/>
        <v>42615</v>
      </c>
      <c r="C71" s="64">
        <f t="shared" si="0"/>
        <v>26682.86</v>
      </c>
      <c r="D71" s="69">
        <v>240907.66</v>
      </c>
      <c r="E71" s="68">
        <f t="shared" si="2"/>
        <v>214224.8</v>
      </c>
      <c r="F71" s="64">
        <f t="shared" si="1"/>
        <v>-185316.5</v>
      </c>
      <c r="G71" s="68">
        <f t="shared" si="4"/>
        <v>399541.3</v>
      </c>
      <c r="H71" s="66">
        <f>C71/SUM($E$8:E71)*SUM($F$8:F71)</f>
        <v>-4252.0206550043713</v>
      </c>
      <c r="I71" s="66">
        <f>C71/SUM($E$8:E71)*SUM($G$8:G71)</f>
        <v>30934.88065500437</v>
      </c>
    </row>
    <row r="72" spans="2:9">
      <c r="B72" s="67">
        <f t="shared" si="3"/>
        <v>42616</v>
      </c>
      <c r="C72" s="64">
        <f t="shared" ref="C72:C135" si="5">SUMIF($D$377:$D$1380,B72,$E$377:$E$1380)</f>
        <v>0</v>
      </c>
      <c r="D72" s="69">
        <v>417691.34</v>
      </c>
      <c r="E72" s="68">
        <f t="shared" si="2"/>
        <v>417691.34</v>
      </c>
      <c r="F72" s="64">
        <f t="shared" ref="F72:F135" si="6">SUMIF($B$376:$B$747,B72,$C$376:$C$747)</f>
        <v>0</v>
      </c>
      <c r="G72" s="68">
        <f t="shared" si="4"/>
        <v>417691.34</v>
      </c>
      <c r="H72" s="66">
        <f>C72/SUM($E$8:E72)*SUM($F$8:F72)</f>
        <v>0</v>
      </c>
      <c r="I72" s="66">
        <f>C72/SUM($E$8:E72)*SUM($G$8:G72)</f>
        <v>0</v>
      </c>
    </row>
    <row r="73" spans="2:9">
      <c r="B73" s="67">
        <f t="shared" si="3"/>
        <v>42617</v>
      </c>
      <c r="C73" s="64">
        <f t="shared" si="5"/>
        <v>0</v>
      </c>
      <c r="D73" s="69">
        <v>417553.17</v>
      </c>
      <c r="E73" s="68">
        <f t="shared" ref="E73:E136" si="7">+D73-C73</f>
        <v>417553.17</v>
      </c>
      <c r="F73" s="64">
        <f t="shared" si="6"/>
        <v>0</v>
      </c>
      <c r="G73" s="68">
        <f t="shared" si="4"/>
        <v>417553.17</v>
      </c>
      <c r="H73" s="66">
        <f>C73/SUM($E$8:E73)*SUM($F$8:F73)</f>
        <v>0</v>
      </c>
      <c r="I73" s="66">
        <f>C73/SUM($E$8:E73)*SUM($G$8:G73)</f>
        <v>0</v>
      </c>
    </row>
    <row r="74" spans="2:9">
      <c r="B74" s="67">
        <f t="shared" ref="B74:B137" si="8">+B73+1</f>
        <v>42618</v>
      </c>
      <c r="C74" s="64">
        <f t="shared" si="5"/>
        <v>1646.1000000000013</v>
      </c>
      <c r="D74" s="69">
        <v>713832.76</v>
      </c>
      <c r="E74" s="68">
        <f t="shared" si="7"/>
        <v>712186.66</v>
      </c>
      <c r="F74" s="64">
        <f t="shared" si="6"/>
        <v>306200</v>
      </c>
      <c r="G74" s="68">
        <f t="shared" ref="G74:G137" si="9">E74-F74</f>
        <v>405986.66000000003</v>
      </c>
      <c r="H74" s="66">
        <f>C74/SUM($E$8:E74)*SUM($F$8:F74)</f>
        <v>-217.13041618693987</v>
      </c>
      <c r="I74" s="66">
        <f>C74/SUM($E$8:E74)*SUM($G$8:G74)</f>
        <v>1863.2304161869411</v>
      </c>
    </row>
    <row r="75" spans="2:9">
      <c r="B75" s="67">
        <f t="shared" si="8"/>
        <v>42619</v>
      </c>
      <c r="C75" s="64">
        <f t="shared" si="5"/>
        <v>-58951.840000000004</v>
      </c>
      <c r="D75" s="69">
        <v>384675.25</v>
      </c>
      <c r="E75" s="68">
        <f t="shared" si="7"/>
        <v>443627.09</v>
      </c>
      <c r="F75" s="64">
        <f t="shared" si="6"/>
        <v>0</v>
      </c>
      <c r="G75" s="68">
        <f t="shared" si="9"/>
        <v>443627.09</v>
      </c>
      <c r="H75" s="66">
        <f>C75/SUM($E$8:E75)*SUM($F$8:F75)</f>
        <v>7608.5016061885244</v>
      </c>
      <c r="I75" s="66">
        <f>C75/SUM($E$8:E75)*SUM($G$8:G75)</f>
        <v>-66560.341606188536</v>
      </c>
    </row>
    <row r="76" spans="2:9">
      <c r="B76" s="67">
        <f t="shared" si="8"/>
        <v>42620</v>
      </c>
      <c r="C76" s="64">
        <f t="shared" si="5"/>
        <v>-114727.81999999999</v>
      </c>
      <c r="D76" s="69">
        <v>384730.89</v>
      </c>
      <c r="E76" s="68">
        <f t="shared" si="7"/>
        <v>499458.71</v>
      </c>
      <c r="F76" s="64">
        <f t="shared" si="6"/>
        <v>0</v>
      </c>
      <c r="G76" s="68">
        <f t="shared" si="9"/>
        <v>499458.71</v>
      </c>
      <c r="H76" s="66">
        <f>C76/SUM($E$8:E76)*SUM($F$8:F76)</f>
        <v>14456.327728380855</v>
      </c>
      <c r="I76" s="66">
        <f>C76/SUM($E$8:E76)*SUM($G$8:G76)</f>
        <v>-129184.14772838085</v>
      </c>
    </row>
    <row r="77" spans="2:9">
      <c r="B77" s="67">
        <f t="shared" si="8"/>
        <v>42621</v>
      </c>
      <c r="C77" s="64">
        <f t="shared" si="5"/>
        <v>-290059.14999999997</v>
      </c>
      <c r="D77" s="69">
        <v>367719.41</v>
      </c>
      <c r="E77" s="68">
        <f t="shared" si="7"/>
        <v>657778.55999999994</v>
      </c>
      <c r="F77" s="64">
        <f t="shared" si="6"/>
        <v>-25322</v>
      </c>
      <c r="G77" s="68">
        <f t="shared" si="9"/>
        <v>683100.55999999994</v>
      </c>
      <c r="H77" s="66">
        <f>C77/SUM($E$8:E77)*SUM($F$8:F77)</f>
        <v>35781.040322950052</v>
      </c>
      <c r="I77" s="66">
        <f>C77/SUM($E$8:E77)*SUM($G$8:G77)</f>
        <v>-325840.19032295002</v>
      </c>
    </row>
    <row r="78" spans="2:9">
      <c r="B78" s="67">
        <f t="shared" si="8"/>
        <v>42622</v>
      </c>
      <c r="C78" s="64">
        <f t="shared" si="5"/>
        <v>-2801174.45</v>
      </c>
      <c r="D78" s="69">
        <v>-293264.23</v>
      </c>
      <c r="E78" s="68">
        <f t="shared" si="7"/>
        <v>2507910.2200000002</v>
      </c>
      <c r="F78" s="64">
        <f t="shared" si="6"/>
        <v>-641877</v>
      </c>
      <c r="G78" s="68">
        <f t="shared" si="9"/>
        <v>3149787.22</v>
      </c>
      <c r="H78" s="66">
        <f>C78/SUM($E$8:E78)*SUM($F$8:F78)</f>
        <v>383957.94617376546</v>
      </c>
      <c r="I78" s="66">
        <f>C78/SUM($E$8:E78)*SUM($G$8:G78)</f>
        <v>-3185132.3961737654</v>
      </c>
    </row>
    <row r="79" spans="2:9">
      <c r="B79" s="67">
        <f t="shared" si="8"/>
        <v>42623</v>
      </c>
      <c r="C79" s="64">
        <f t="shared" si="5"/>
        <v>0</v>
      </c>
      <c r="D79" s="69">
        <v>378645.66</v>
      </c>
      <c r="E79" s="68">
        <f t="shared" si="7"/>
        <v>378645.66</v>
      </c>
      <c r="F79" s="64">
        <f t="shared" si="6"/>
        <v>0</v>
      </c>
      <c r="G79" s="68">
        <f t="shared" si="9"/>
        <v>378645.66</v>
      </c>
      <c r="H79" s="66">
        <f>C79/SUM($E$8:E79)*SUM($F$8:F79)</f>
        <v>0</v>
      </c>
      <c r="I79" s="66">
        <f>C79/SUM($E$8:E79)*SUM($G$8:G79)</f>
        <v>0</v>
      </c>
    </row>
    <row r="80" spans="2:9">
      <c r="B80" s="67">
        <f t="shared" si="8"/>
        <v>42624</v>
      </c>
      <c r="C80" s="64">
        <f t="shared" si="5"/>
        <v>0</v>
      </c>
      <c r="D80" s="69">
        <v>362520.67</v>
      </c>
      <c r="E80" s="68">
        <f t="shared" si="7"/>
        <v>362520.67</v>
      </c>
      <c r="F80" s="64">
        <f t="shared" si="6"/>
        <v>0</v>
      </c>
      <c r="G80" s="68">
        <f t="shared" si="9"/>
        <v>362520.67</v>
      </c>
      <c r="H80" s="66">
        <f>C80/SUM($E$8:E80)*SUM($F$8:F80)</f>
        <v>0</v>
      </c>
      <c r="I80" s="66">
        <f>C80/SUM($E$8:E80)*SUM($G$8:G80)</f>
        <v>0</v>
      </c>
    </row>
    <row r="81" spans="2:9">
      <c r="B81" s="67">
        <f t="shared" si="8"/>
        <v>42625</v>
      </c>
      <c r="C81" s="64">
        <f t="shared" si="5"/>
        <v>0</v>
      </c>
      <c r="D81" s="69">
        <v>362455.11</v>
      </c>
      <c r="E81" s="68">
        <f t="shared" si="7"/>
        <v>362455.11</v>
      </c>
      <c r="F81" s="64">
        <f t="shared" si="6"/>
        <v>0</v>
      </c>
      <c r="G81" s="68">
        <f t="shared" si="9"/>
        <v>362455.11</v>
      </c>
      <c r="H81" s="66">
        <f>C81/SUM($E$8:E81)*SUM($F$8:F81)</f>
        <v>0</v>
      </c>
      <c r="I81" s="66">
        <f>C81/SUM($E$8:E81)*SUM($G$8:G81)</f>
        <v>0</v>
      </c>
    </row>
    <row r="82" spans="2:9">
      <c r="B82" s="67">
        <f t="shared" si="8"/>
        <v>42626</v>
      </c>
      <c r="C82" s="64">
        <f t="shared" si="5"/>
        <v>0</v>
      </c>
      <c r="D82" s="69">
        <v>362236.56</v>
      </c>
      <c r="E82" s="68">
        <f t="shared" si="7"/>
        <v>362236.56</v>
      </c>
      <c r="F82" s="64">
        <f t="shared" si="6"/>
        <v>0</v>
      </c>
      <c r="G82" s="68">
        <f t="shared" si="9"/>
        <v>362236.56</v>
      </c>
      <c r="H82" s="66">
        <f>C82/SUM($E$8:E82)*SUM($F$8:F82)</f>
        <v>0</v>
      </c>
      <c r="I82" s="66">
        <f>C82/SUM($E$8:E82)*SUM($G$8:G82)</f>
        <v>0</v>
      </c>
    </row>
    <row r="83" spans="2:9">
      <c r="B83" s="67">
        <f t="shared" si="8"/>
        <v>42627</v>
      </c>
      <c r="C83" s="64">
        <f t="shared" si="5"/>
        <v>0</v>
      </c>
      <c r="D83" s="69">
        <v>362469</v>
      </c>
      <c r="E83" s="68">
        <f t="shared" si="7"/>
        <v>362469</v>
      </c>
      <c r="F83" s="64">
        <f t="shared" si="6"/>
        <v>0</v>
      </c>
      <c r="G83" s="68">
        <f t="shared" si="9"/>
        <v>362469</v>
      </c>
      <c r="H83" s="66">
        <f>C83/SUM($E$8:E83)*SUM($F$8:F83)</f>
        <v>0</v>
      </c>
      <c r="I83" s="66">
        <f>C83/SUM($E$8:E83)*SUM($G$8:G83)</f>
        <v>0</v>
      </c>
    </row>
    <row r="84" spans="2:9">
      <c r="B84" s="67">
        <f t="shared" si="8"/>
        <v>42628</v>
      </c>
      <c r="C84" s="64">
        <f t="shared" si="5"/>
        <v>0</v>
      </c>
      <c r="D84" s="69">
        <v>319626.21999999997</v>
      </c>
      <c r="E84" s="68">
        <f t="shared" si="7"/>
        <v>319626.21999999997</v>
      </c>
      <c r="F84" s="64">
        <f t="shared" si="6"/>
        <v>-7428.5</v>
      </c>
      <c r="G84" s="68">
        <f t="shared" si="9"/>
        <v>327054.71999999997</v>
      </c>
      <c r="H84" s="66">
        <f>C84/SUM($E$8:E84)*SUM($F$8:F84)</f>
        <v>0</v>
      </c>
      <c r="I84" s="66">
        <f>C84/SUM($E$8:E84)*SUM($G$8:G84)</f>
        <v>0</v>
      </c>
    </row>
    <row r="85" spans="2:9">
      <c r="B85" s="67">
        <f t="shared" si="8"/>
        <v>42629</v>
      </c>
      <c r="C85" s="64">
        <f t="shared" si="5"/>
        <v>-44836.930000000008</v>
      </c>
      <c r="D85" s="69">
        <v>-551700.04</v>
      </c>
      <c r="E85" s="68">
        <f t="shared" si="7"/>
        <v>-506863.11000000004</v>
      </c>
      <c r="F85" s="64">
        <f t="shared" si="6"/>
        <v>-913950</v>
      </c>
      <c r="G85" s="68">
        <f t="shared" si="9"/>
        <v>407086.88999999996</v>
      </c>
      <c r="H85" s="66">
        <f>C85/SUM($E$8:E85)*SUM($F$8:F85)</f>
        <v>7351.9444933205623</v>
      </c>
      <c r="I85" s="66">
        <f>C85/SUM($E$8:E85)*SUM($G$8:G85)</f>
        <v>-52188.874493320567</v>
      </c>
    </row>
    <row r="86" spans="2:9">
      <c r="B86" s="67">
        <f t="shared" si="8"/>
        <v>42630</v>
      </c>
      <c r="C86" s="64">
        <f t="shared" si="5"/>
        <v>0</v>
      </c>
      <c r="D86" s="69">
        <v>352503.76</v>
      </c>
      <c r="E86" s="68">
        <f t="shared" si="7"/>
        <v>352503.76</v>
      </c>
      <c r="F86" s="64">
        <f t="shared" si="6"/>
        <v>0</v>
      </c>
      <c r="G86" s="68">
        <f t="shared" si="9"/>
        <v>352503.76</v>
      </c>
      <c r="H86" s="66">
        <f>C86/SUM($E$8:E86)*SUM($F$8:F86)</f>
        <v>0</v>
      </c>
      <c r="I86" s="66">
        <f>C86/SUM($E$8:E86)*SUM($G$8:G86)</f>
        <v>0</v>
      </c>
    </row>
    <row r="87" spans="2:9">
      <c r="B87" s="67">
        <f t="shared" si="8"/>
        <v>42631</v>
      </c>
      <c r="C87" s="64">
        <f t="shared" si="5"/>
        <v>0</v>
      </c>
      <c r="D87" s="69">
        <v>352065.47</v>
      </c>
      <c r="E87" s="68">
        <f t="shared" si="7"/>
        <v>352065.47</v>
      </c>
      <c r="F87" s="64">
        <f t="shared" si="6"/>
        <v>0</v>
      </c>
      <c r="G87" s="68">
        <f t="shared" si="9"/>
        <v>352065.47</v>
      </c>
      <c r="H87" s="66">
        <f>C87/SUM($E$8:E87)*SUM($F$8:F87)</f>
        <v>0</v>
      </c>
      <c r="I87" s="66">
        <f>C87/SUM($E$8:E87)*SUM($G$8:G87)</f>
        <v>0</v>
      </c>
    </row>
    <row r="88" spans="2:9">
      <c r="B88" s="67">
        <f t="shared" si="8"/>
        <v>42632</v>
      </c>
      <c r="C88" s="64">
        <f t="shared" si="5"/>
        <v>-2448.79</v>
      </c>
      <c r="D88" s="69">
        <v>356705.93</v>
      </c>
      <c r="E88" s="68">
        <f t="shared" si="7"/>
        <v>359154.72</v>
      </c>
      <c r="F88" s="64">
        <f t="shared" si="6"/>
        <v>-48996.5</v>
      </c>
      <c r="G88" s="68">
        <f t="shared" si="9"/>
        <v>408151.22</v>
      </c>
      <c r="H88" s="66">
        <f>C88/SUM($E$8:E88)*SUM($F$8:F88)</f>
        <v>390.13473410411177</v>
      </c>
      <c r="I88" s="66">
        <f>C88/SUM($E$8:E88)*SUM($G$8:G88)</f>
        <v>-2838.9247341041118</v>
      </c>
    </row>
    <row r="89" spans="2:9">
      <c r="B89" s="67">
        <f t="shared" si="8"/>
        <v>42633</v>
      </c>
      <c r="C89" s="64">
        <f t="shared" si="5"/>
        <v>-9768.74</v>
      </c>
      <c r="D89" s="69">
        <v>356284.35</v>
      </c>
      <c r="E89" s="68">
        <f t="shared" si="7"/>
        <v>366053.08999999997</v>
      </c>
      <c r="F89" s="64">
        <f t="shared" si="6"/>
        <v>0</v>
      </c>
      <c r="G89" s="68">
        <f t="shared" si="9"/>
        <v>366053.08999999997</v>
      </c>
      <c r="H89" s="66">
        <f>C89/SUM($E$8:E89)*SUM($F$8:F89)</f>
        <v>1535.4762757247242</v>
      </c>
      <c r="I89" s="66">
        <f>C89/SUM($E$8:E89)*SUM($G$8:G89)</f>
        <v>-11304.216275724724</v>
      </c>
    </row>
    <row r="90" spans="2:9">
      <c r="B90" s="67">
        <f t="shared" si="8"/>
        <v>42634</v>
      </c>
      <c r="C90" s="64">
        <f t="shared" si="5"/>
        <v>-48891.270000000004</v>
      </c>
      <c r="D90" s="69">
        <v>355617.24</v>
      </c>
      <c r="E90" s="68">
        <f t="shared" si="7"/>
        <v>404508.51</v>
      </c>
      <c r="F90" s="64">
        <f t="shared" si="6"/>
        <v>0</v>
      </c>
      <c r="G90" s="68">
        <f t="shared" si="9"/>
        <v>404508.51</v>
      </c>
      <c r="H90" s="66">
        <f>C90/SUM($E$8:E90)*SUM($F$8:F90)</f>
        <v>7572.7307427160231</v>
      </c>
      <c r="I90" s="66">
        <f>C90/SUM($E$8:E90)*SUM($G$8:G90)</f>
        <v>-56464.000742716024</v>
      </c>
    </row>
    <row r="91" spans="2:9">
      <c r="B91" s="67">
        <f t="shared" si="8"/>
        <v>42635</v>
      </c>
      <c r="C91" s="64">
        <f t="shared" si="5"/>
        <v>-222501.04999999996</v>
      </c>
      <c r="D91" s="69">
        <v>869353.54</v>
      </c>
      <c r="E91" s="68">
        <f t="shared" si="7"/>
        <v>1091854.5900000001</v>
      </c>
      <c r="F91" s="64">
        <f t="shared" si="6"/>
        <v>93338.5</v>
      </c>
      <c r="G91" s="68">
        <f t="shared" si="9"/>
        <v>998516.09000000008</v>
      </c>
      <c r="H91" s="66">
        <f>C91/SUM($E$8:E91)*SUM($F$8:F91)</f>
        <v>32436.447649279999</v>
      </c>
      <c r="I91" s="66">
        <f>C91/SUM($E$8:E91)*SUM($G$8:G91)</f>
        <v>-254937.49764927995</v>
      </c>
    </row>
    <row r="92" spans="2:9">
      <c r="B92" s="67">
        <f t="shared" si="8"/>
        <v>42636</v>
      </c>
      <c r="C92" s="64">
        <f t="shared" si="5"/>
        <v>21001.630000000005</v>
      </c>
      <c r="D92" s="69">
        <v>1233020.32</v>
      </c>
      <c r="E92" s="68">
        <f t="shared" si="7"/>
        <v>1212018.69</v>
      </c>
      <c r="F92" s="64">
        <f t="shared" si="6"/>
        <v>0</v>
      </c>
      <c r="G92" s="68">
        <f t="shared" si="9"/>
        <v>1212018.69</v>
      </c>
      <c r="H92" s="66">
        <f>C92/SUM($E$8:E92)*SUM($F$8:F92)</f>
        <v>-2938.0618335870881</v>
      </c>
      <c r="I92" s="66">
        <f>C92/SUM($E$8:E92)*SUM($G$8:G92)</f>
        <v>23939.691833587091</v>
      </c>
    </row>
    <row r="93" spans="2:9">
      <c r="B93" s="67">
        <f t="shared" si="8"/>
        <v>42637</v>
      </c>
      <c r="C93" s="64">
        <f t="shared" si="5"/>
        <v>0</v>
      </c>
      <c r="D93" s="69">
        <v>372486.71</v>
      </c>
      <c r="E93" s="68">
        <f t="shared" si="7"/>
        <v>372486.71</v>
      </c>
      <c r="F93" s="64">
        <f t="shared" si="6"/>
        <v>0</v>
      </c>
      <c r="G93" s="68">
        <f t="shared" si="9"/>
        <v>372486.71</v>
      </c>
      <c r="H93" s="66">
        <f>C93/SUM($E$8:E93)*SUM($F$8:F93)</f>
        <v>0</v>
      </c>
      <c r="I93" s="66">
        <f>C93/SUM($E$8:E93)*SUM($G$8:G93)</f>
        <v>0</v>
      </c>
    </row>
    <row r="94" spans="2:9">
      <c r="B94" s="67">
        <f t="shared" si="8"/>
        <v>42638</v>
      </c>
      <c r="C94" s="64">
        <f t="shared" si="5"/>
        <v>0</v>
      </c>
      <c r="D94" s="69">
        <v>360713.99</v>
      </c>
      <c r="E94" s="68">
        <f t="shared" si="7"/>
        <v>360713.99</v>
      </c>
      <c r="F94" s="64">
        <f t="shared" si="6"/>
        <v>0</v>
      </c>
      <c r="G94" s="68">
        <f t="shared" si="9"/>
        <v>360713.99</v>
      </c>
      <c r="H94" s="66">
        <f>C94/SUM($E$8:E94)*SUM($F$8:F94)</f>
        <v>0</v>
      </c>
      <c r="I94" s="66">
        <f>C94/SUM($E$8:E94)*SUM($G$8:G94)</f>
        <v>0</v>
      </c>
    </row>
    <row r="95" spans="2:9">
      <c r="B95" s="67">
        <f t="shared" si="8"/>
        <v>42639</v>
      </c>
      <c r="C95" s="64">
        <f t="shared" si="5"/>
        <v>-1448667.82</v>
      </c>
      <c r="D95" s="69">
        <v>1203939.22</v>
      </c>
      <c r="E95" s="68">
        <f t="shared" si="7"/>
        <v>2652607.04</v>
      </c>
      <c r="F95" s="64">
        <f t="shared" si="6"/>
        <v>0</v>
      </c>
      <c r="G95" s="68">
        <f t="shared" si="9"/>
        <v>2652607.04</v>
      </c>
      <c r="H95" s="66">
        <f>C95/SUM($E$8:E95)*SUM($F$8:F95)</f>
        <v>182127.89165604545</v>
      </c>
      <c r="I95" s="66">
        <f>C95/SUM($E$8:E95)*SUM($G$8:G95)</f>
        <v>-1630795.7116560454</v>
      </c>
    </row>
    <row r="96" spans="2:9">
      <c r="B96" s="67">
        <f t="shared" si="8"/>
        <v>42640</v>
      </c>
      <c r="C96" s="64">
        <f t="shared" si="5"/>
        <v>-13780.2</v>
      </c>
      <c r="D96" s="69">
        <v>348356.08</v>
      </c>
      <c r="E96" s="68">
        <f t="shared" si="7"/>
        <v>362136.28</v>
      </c>
      <c r="F96" s="64">
        <f t="shared" si="6"/>
        <v>0</v>
      </c>
      <c r="G96" s="68">
        <f t="shared" si="9"/>
        <v>362136.28</v>
      </c>
      <c r="H96" s="66">
        <f>C96/SUM($E$8:E96)*SUM($F$8:F96)</f>
        <v>1713.8845852714489</v>
      </c>
      <c r="I96" s="66">
        <f>C96/SUM($E$8:E96)*SUM($G$8:G96)</f>
        <v>-15494.084585271452</v>
      </c>
    </row>
    <row r="97" spans="2:9">
      <c r="B97" s="67">
        <f t="shared" si="8"/>
        <v>42641</v>
      </c>
      <c r="C97" s="64">
        <f t="shared" si="5"/>
        <v>26985.140000000003</v>
      </c>
      <c r="D97" s="69">
        <v>275645.89</v>
      </c>
      <c r="E97" s="68">
        <f t="shared" si="7"/>
        <v>248660.75</v>
      </c>
      <c r="F97" s="64">
        <f t="shared" si="6"/>
        <v>-64800</v>
      </c>
      <c r="G97" s="68">
        <f t="shared" si="9"/>
        <v>313460.75</v>
      </c>
      <c r="H97" s="66">
        <f>C97/SUM($E$8:E97)*SUM($F$8:F97)</f>
        <v>-3383.0879112580819</v>
      </c>
      <c r="I97" s="66">
        <f>C97/SUM($E$8:E97)*SUM($G$8:G97)</f>
        <v>30368.227911258087</v>
      </c>
    </row>
    <row r="98" spans="2:9">
      <c r="B98" s="67">
        <f t="shared" si="8"/>
        <v>42642</v>
      </c>
      <c r="C98" s="64">
        <f t="shared" si="5"/>
        <v>45300.140000000014</v>
      </c>
      <c r="D98" s="69">
        <v>-1495110.08</v>
      </c>
      <c r="E98" s="68">
        <f t="shared" si="7"/>
        <v>-1540410.2200000002</v>
      </c>
      <c r="F98" s="64">
        <f t="shared" si="6"/>
        <v>-1803150</v>
      </c>
      <c r="G98" s="68">
        <f t="shared" si="9"/>
        <v>262739.7799999998</v>
      </c>
      <c r="H98" s="66">
        <f>C98/SUM($E$8:E98)*SUM($F$8:F98)</f>
        <v>-8463.1093049903448</v>
      </c>
      <c r="I98" s="66">
        <f>C98/SUM($E$8:E98)*SUM($G$8:G98)</f>
        <v>53763.249304990364</v>
      </c>
    </row>
    <row r="99" spans="2:9">
      <c r="B99" s="67">
        <f t="shared" si="8"/>
        <v>42643</v>
      </c>
      <c r="C99" s="64">
        <f t="shared" si="5"/>
        <v>293692.85000000009</v>
      </c>
      <c r="D99" s="69">
        <v>342994.68</v>
      </c>
      <c r="E99" s="68">
        <f t="shared" si="7"/>
        <v>49301.8299999999</v>
      </c>
      <c r="F99" s="64">
        <f t="shared" si="6"/>
        <v>0</v>
      </c>
      <c r="G99" s="68">
        <f t="shared" si="9"/>
        <v>49301.8299999999</v>
      </c>
      <c r="H99" s="66">
        <f>C99/SUM($E$8:E99)*SUM($F$8:F99)</f>
        <v>-54785.437345722028</v>
      </c>
      <c r="I99" s="66">
        <f>C99/SUM($E$8:E99)*SUM($G$8:G99)</f>
        <v>348478.28734572214</v>
      </c>
    </row>
    <row r="100" spans="2:9">
      <c r="B100" s="67">
        <f t="shared" si="8"/>
        <v>42644</v>
      </c>
      <c r="C100" s="64">
        <f t="shared" si="5"/>
        <v>0</v>
      </c>
      <c r="D100" s="69">
        <v>345392.39</v>
      </c>
      <c r="E100" s="68">
        <f t="shared" si="7"/>
        <v>345392.39</v>
      </c>
      <c r="F100" s="64">
        <f t="shared" si="6"/>
        <v>0</v>
      </c>
      <c r="G100" s="68">
        <f t="shared" si="9"/>
        <v>345392.39</v>
      </c>
      <c r="H100" s="66">
        <f>C100/SUM($E$8:E100)*SUM($F$8:F100)</f>
        <v>0</v>
      </c>
      <c r="I100" s="66">
        <f>C100/SUM($E$8:E100)*SUM($G$8:G100)</f>
        <v>0</v>
      </c>
    </row>
    <row r="101" spans="2:9">
      <c r="B101" s="67">
        <f t="shared" si="8"/>
        <v>42645</v>
      </c>
      <c r="C101" s="64">
        <f t="shared" si="5"/>
        <v>0</v>
      </c>
      <c r="D101" s="69">
        <v>345375.81</v>
      </c>
      <c r="E101" s="68">
        <f t="shared" si="7"/>
        <v>345375.81</v>
      </c>
      <c r="F101" s="64">
        <f t="shared" si="6"/>
        <v>0</v>
      </c>
      <c r="G101" s="68">
        <f t="shared" si="9"/>
        <v>345375.81</v>
      </c>
      <c r="H101" s="66">
        <f>C101/SUM($E$8:E101)*SUM($F$8:F101)</f>
        <v>0</v>
      </c>
      <c r="I101" s="66">
        <f>C101/SUM($E$8:E101)*SUM($G$8:G101)</f>
        <v>0</v>
      </c>
    </row>
    <row r="102" spans="2:9">
      <c r="B102" s="67">
        <f t="shared" si="8"/>
        <v>42646</v>
      </c>
      <c r="C102" s="64">
        <f t="shared" si="5"/>
        <v>0</v>
      </c>
      <c r="D102" s="69">
        <v>340977.56</v>
      </c>
      <c r="E102" s="68">
        <f t="shared" si="7"/>
        <v>340977.56</v>
      </c>
      <c r="F102" s="64">
        <f t="shared" si="6"/>
        <v>0</v>
      </c>
      <c r="G102" s="68">
        <f t="shared" si="9"/>
        <v>340977.56</v>
      </c>
      <c r="H102" s="66">
        <f>C102/SUM($E$8:E102)*SUM($F$8:F102)</f>
        <v>0</v>
      </c>
      <c r="I102" s="66">
        <f>C102/SUM($E$8:E102)*SUM($G$8:G102)</f>
        <v>0</v>
      </c>
    </row>
    <row r="103" spans="2:9">
      <c r="B103" s="67">
        <f t="shared" si="8"/>
        <v>42647</v>
      </c>
      <c r="C103" s="64">
        <f t="shared" si="5"/>
        <v>-16123.51</v>
      </c>
      <c r="D103" s="69">
        <v>341074.47</v>
      </c>
      <c r="E103" s="68">
        <f t="shared" si="7"/>
        <v>357197.98</v>
      </c>
      <c r="F103" s="64">
        <f t="shared" si="6"/>
        <v>0</v>
      </c>
      <c r="G103" s="68">
        <f t="shared" si="9"/>
        <v>357197.98</v>
      </c>
      <c r="H103" s="66">
        <f>C103/SUM($E$8:E103)*SUM($F$8:F103)</f>
        <v>2884.527855460643</v>
      </c>
      <c r="I103" s="66">
        <f>C103/SUM($E$8:E103)*SUM($G$8:G103)</f>
        <v>-19008.037855460647</v>
      </c>
    </row>
    <row r="104" spans="2:9">
      <c r="B104" s="67">
        <f t="shared" si="8"/>
        <v>42648</v>
      </c>
      <c r="C104" s="64">
        <f t="shared" si="5"/>
        <v>42170.06</v>
      </c>
      <c r="D104" s="69">
        <v>349692.06</v>
      </c>
      <c r="E104" s="68">
        <f t="shared" si="7"/>
        <v>307522</v>
      </c>
      <c r="F104" s="64">
        <f t="shared" si="6"/>
        <v>0</v>
      </c>
      <c r="G104" s="68">
        <f t="shared" si="9"/>
        <v>307522</v>
      </c>
      <c r="H104" s="66">
        <f>C104/SUM($E$8:E104)*SUM($F$8:F104)</f>
        <v>-7476.5281772572362</v>
      </c>
      <c r="I104" s="66">
        <f>C104/SUM($E$8:E104)*SUM($G$8:G104)</f>
        <v>49646.588177257247</v>
      </c>
    </row>
    <row r="105" spans="2:9">
      <c r="B105" s="67">
        <f t="shared" si="8"/>
        <v>42649</v>
      </c>
      <c r="C105" s="64">
        <f t="shared" si="5"/>
        <v>126455.98999999998</v>
      </c>
      <c r="D105" s="69">
        <v>349955.09</v>
      </c>
      <c r="E105" s="68">
        <f t="shared" si="7"/>
        <v>223499.10000000003</v>
      </c>
      <c r="F105" s="64">
        <f t="shared" si="6"/>
        <v>0</v>
      </c>
      <c r="G105" s="68">
        <f t="shared" si="9"/>
        <v>223499.10000000003</v>
      </c>
      <c r="H105" s="66">
        <f>C105/SUM($E$8:E105)*SUM($F$8:F105)</f>
        <v>-22274.536796963574</v>
      </c>
      <c r="I105" s="66">
        <f>C105/SUM($E$8:E105)*SUM($G$8:G105)</f>
        <v>148730.52679696359</v>
      </c>
    </row>
    <row r="106" spans="2:9">
      <c r="B106" s="67">
        <f t="shared" si="8"/>
        <v>42650</v>
      </c>
      <c r="C106" s="64">
        <f t="shared" si="5"/>
        <v>-7107.3700000000026</v>
      </c>
      <c r="D106" s="69">
        <v>350815.26</v>
      </c>
      <c r="E106" s="68">
        <f t="shared" si="7"/>
        <v>357922.63</v>
      </c>
      <c r="F106" s="64">
        <f t="shared" si="6"/>
        <v>0</v>
      </c>
      <c r="G106" s="68">
        <f t="shared" si="9"/>
        <v>357922.63</v>
      </c>
      <c r="H106" s="66">
        <f>C106/SUM($E$8:E106)*SUM($F$8:F106)</f>
        <v>1239.0524956091638</v>
      </c>
      <c r="I106" s="66">
        <f>C106/SUM($E$8:E106)*SUM($G$8:G106)</f>
        <v>-8346.4224956091675</v>
      </c>
    </row>
    <row r="107" spans="2:9">
      <c r="B107" s="67">
        <f t="shared" si="8"/>
        <v>42651</v>
      </c>
      <c r="C107" s="64">
        <f t="shared" si="5"/>
        <v>0</v>
      </c>
      <c r="D107" s="69">
        <v>350798.48</v>
      </c>
      <c r="E107" s="68">
        <f t="shared" si="7"/>
        <v>350798.48</v>
      </c>
      <c r="F107" s="64">
        <f t="shared" si="6"/>
        <v>0</v>
      </c>
      <c r="G107" s="68">
        <f t="shared" si="9"/>
        <v>350798.48</v>
      </c>
      <c r="H107" s="66">
        <f>C107/SUM($E$8:E107)*SUM($F$8:F107)</f>
        <v>0</v>
      </c>
      <c r="I107" s="66">
        <f>C107/SUM($E$8:E107)*SUM($G$8:G107)</f>
        <v>0</v>
      </c>
    </row>
    <row r="108" spans="2:9">
      <c r="B108" s="67">
        <f t="shared" si="8"/>
        <v>42652</v>
      </c>
      <c r="C108" s="64">
        <f t="shared" si="5"/>
        <v>0</v>
      </c>
      <c r="D108" s="69">
        <v>350779.96</v>
      </c>
      <c r="E108" s="68">
        <f t="shared" si="7"/>
        <v>350779.96</v>
      </c>
      <c r="F108" s="64">
        <f t="shared" si="6"/>
        <v>0</v>
      </c>
      <c r="G108" s="68">
        <f t="shared" si="9"/>
        <v>350779.96</v>
      </c>
      <c r="H108" s="66">
        <f>C108/SUM($E$8:E108)*SUM($F$8:F108)</f>
        <v>0</v>
      </c>
      <c r="I108" s="66">
        <f>C108/SUM($E$8:E108)*SUM($G$8:G108)</f>
        <v>0</v>
      </c>
    </row>
    <row r="109" spans="2:9">
      <c r="B109" s="67">
        <f t="shared" si="8"/>
        <v>42653</v>
      </c>
      <c r="C109" s="64">
        <f t="shared" si="5"/>
        <v>-84418.01999999999</v>
      </c>
      <c r="D109" s="69">
        <v>385459.02</v>
      </c>
      <c r="E109" s="68">
        <f t="shared" si="7"/>
        <v>469877.04000000004</v>
      </c>
      <c r="F109" s="64">
        <f t="shared" si="6"/>
        <v>0</v>
      </c>
      <c r="G109" s="68">
        <f t="shared" si="9"/>
        <v>469877.04000000004</v>
      </c>
      <c r="H109" s="66">
        <f>C109/SUM($E$8:E109)*SUM($F$8:F109)</f>
        <v>14237.757861501539</v>
      </c>
      <c r="I109" s="66">
        <f>C109/SUM($E$8:E109)*SUM($G$8:G109)</f>
        <v>-98655.777861501556</v>
      </c>
    </row>
    <row r="110" spans="2:9">
      <c r="B110" s="67">
        <f t="shared" si="8"/>
        <v>42654</v>
      </c>
      <c r="C110" s="64">
        <f t="shared" si="5"/>
        <v>0</v>
      </c>
      <c r="D110" s="69">
        <v>351083.08</v>
      </c>
      <c r="E110" s="68">
        <f t="shared" si="7"/>
        <v>351083.08</v>
      </c>
      <c r="F110" s="64">
        <f t="shared" si="6"/>
        <v>0</v>
      </c>
      <c r="G110" s="68">
        <f t="shared" si="9"/>
        <v>351083.08</v>
      </c>
      <c r="H110" s="66">
        <f>C110/SUM($E$8:E110)*SUM($F$8:F110)</f>
        <v>0</v>
      </c>
      <c r="I110" s="66">
        <f>C110/SUM($E$8:E110)*SUM($G$8:G110)</f>
        <v>0</v>
      </c>
    </row>
    <row r="111" spans="2:9">
      <c r="B111" s="67">
        <f t="shared" si="8"/>
        <v>42655</v>
      </c>
      <c r="C111" s="64">
        <f t="shared" si="5"/>
        <v>0</v>
      </c>
      <c r="D111" s="69">
        <v>349687.81</v>
      </c>
      <c r="E111" s="68">
        <f t="shared" si="7"/>
        <v>349687.81</v>
      </c>
      <c r="F111" s="64">
        <f t="shared" si="6"/>
        <v>0</v>
      </c>
      <c r="G111" s="68">
        <f t="shared" si="9"/>
        <v>349687.81</v>
      </c>
      <c r="H111" s="66">
        <f>C111/SUM($E$8:E111)*SUM($F$8:F111)</f>
        <v>0</v>
      </c>
      <c r="I111" s="66">
        <f>C111/SUM($E$8:E111)*SUM($G$8:G111)</f>
        <v>0</v>
      </c>
    </row>
    <row r="112" spans="2:9">
      <c r="B112" s="67">
        <f t="shared" si="8"/>
        <v>42656</v>
      </c>
      <c r="C112" s="64">
        <f t="shared" si="5"/>
        <v>-38839.630000000005</v>
      </c>
      <c r="D112" s="69">
        <v>348207.02</v>
      </c>
      <c r="E112" s="68">
        <f t="shared" si="7"/>
        <v>387046.65</v>
      </c>
      <c r="F112" s="64">
        <f t="shared" si="6"/>
        <v>0</v>
      </c>
      <c r="G112" s="68">
        <f t="shared" si="9"/>
        <v>387046.65</v>
      </c>
      <c r="H112" s="66">
        <f>C112/SUM($E$8:E112)*SUM($F$8:F112)</f>
        <v>6358.3802915061651</v>
      </c>
      <c r="I112" s="66">
        <f>C112/SUM($E$8:E112)*SUM($G$8:G112)</f>
        <v>-45198.01029150618</v>
      </c>
    </row>
    <row r="113" spans="2:9">
      <c r="B113" s="67">
        <f t="shared" si="8"/>
        <v>42657</v>
      </c>
      <c r="C113" s="64">
        <f t="shared" si="5"/>
        <v>-64732.060000000005</v>
      </c>
      <c r="D113" s="69">
        <v>425808.74</v>
      </c>
      <c r="E113" s="68">
        <f t="shared" si="7"/>
        <v>490540.79999999999</v>
      </c>
      <c r="F113" s="64">
        <f t="shared" si="6"/>
        <v>0</v>
      </c>
      <c r="G113" s="68">
        <f t="shared" si="9"/>
        <v>490540.79999999999</v>
      </c>
      <c r="H113" s="66">
        <f>C113/SUM($E$8:E113)*SUM($F$8:F113)</f>
        <v>10458.794216696309</v>
      </c>
      <c r="I113" s="66">
        <f>C113/SUM($E$8:E113)*SUM($G$8:G113)</f>
        <v>-75190.854216696331</v>
      </c>
    </row>
    <row r="114" spans="2:9">
      <c r="B114" s="67">
        <f t="shared" si="8"/>
        <v>42658</v>
      </c>
      <c r="C114" s="64">
        <f t="shared" si="5"/>
        <v>0</v>
      </c>
      <c r="D114" s="69">
        <v>349324.11</v>
      </c>
      <c r="E114" s="68">
        <f t="shared" si="7"/>
        <v>349324.11</v>
      </c>
      <c r="F114" s="64">
        <f t="shared" si="6"/>
        <v>0</v>
      </c>
      <c r="G114" s="68">
        <f t="shared" si="9"/>
        <v>349324.11</v>
      </c>
      <c r="H114" s="66">
        <f>C114/SUM($E$8:E114)*SUM($F$8:F114)</f>
        <v>0</v>
      </c>
      <c r="I114" s="66">
        <f>C114/SUM($E$8:E114)*SUM($G$8:G114)</f>
        <v>0</v>
      </c>
    </row>
    <row r="115" spans="2:9">
      <c r="B115" s="67">
        <f t="shared" si="8"/>
        <v>42659</v>
      </c>
      <c r="C115" s="64">
        <f t="shared" si="5"/>
        <v>0</v>
      </c>
      <c r="D115" s="69">
        <v>349308.03</v>
      </c>
      <c r="E115" s="68">
        <f t="shared" si="7"/>
        <v>349308.03</v>
      </c>
      <c r="F115" s="64">
        <f t="shared" si="6"/>
        <v>0</v>
      </c>
      <c r="G115" s="68">
        <f t="shared" si="9"/>
        <v>349308.03</v>
      </c>
      <c r="H115" s="66">
        <f>C115/SUM($E$8:E115)*SUM($F$8:F115)</f>
        <v>0</v>
      </c>
      <c r="I115" s="66">
        <f>C115/SUM($E$8:E115)*SUM($G$8:G115)</f>
        <v>0</v>
      </c>
    </row>
    <row r="116" spans="2:9">
      <c r="B116" s="67">
        <f t="shared" si="8"/>
        <v>42660</v>
      </c>
      <c r="C116" s="64">
        <f t="shared" si="5"/>
        <v>-269454.31</v>
      </c>
      <c r="D116" s="69">
        <v>396391.02</v>
      </c>
      <c r="E116" s="68">
        <f t="shared" si="7"/>
        <v>665845.33000000007</v>
      </c>
      <c r="F116" s="64">
        <f t="shared" si="6"/>
        <v>0</v>
      </c>
      <c r="G116" s="68">
        <f t="shared" si="9"/>
        <v>665845.33000000007</v>
      </c>
      <c r="H116" s="66">
        <f>C116/SUM($E$8:E116)*SUM($F$8:F116)</f>
        <v>42009.77965104796</v>
      </c>
      <c r="I116" s="66">
        <f>C116/SUM($E$8:E116)*SUM($G$8:G116)</f>
        <v>-311464.08965104801</v>
      </c>
    </row>
    <row r="117" spans="2:9">
      <c r="B117" s="67">
        <f t="shared" si="8"/>
        <v>42661</v>
      </c>
      <c r="C117" s="64">
        <f t="shared" si="5"/>
        <v>-69246.89</v>
      </c>
      <c r="D117" s="69">
        <v>350242.43</v>
      </c>
      <c r="E117" s="68">
        <f t="shared" si="7"/>
        <v>419489.32</v>
      </c>
      <c r="F117" s="64">
        <f t="shared" si="6"/>
        <v>0</v>
      </c>
      <c r="G117" s="68">
        <f t="shared" si="9"/>
        <v>419489.32</v>
      </c>
      <c r="H117" s="66">
        <f>C117/SUM($E$8:E117)*SUM($F$8:F117)</f>
        <v>10680.959607373279</v>
      </c>
      <c r="I117" s="66">
        <f>C117/SUM($E$8:E117)*SUM($G$8:G117)</f>
        <v>-79927.849607373297</v>
      </c>
    </row>
    <row r="118" spans="2:9">
      <c r="B118" s="67">
        <f t="shared" si="8"/>
        <v>42662</v>
      </c>
      <c r="C118" s="64">
        <f t="shared" si="5"/>
        <v>3049.15</v>
      </c>
      <c r="D118" s="69">
        <v>560373.99</v>
      </c>
      <c r="E118" s="68">
        <f t="shared" si="7"/>
        <v>557324.84</v>
      </c>
      <c r="F118" s="64">
        <f t="shared" si="6"/>
        <v>0</v>
      </c>
      <c r="G118" s="68">
        <f t="shared" si="9"/>
        <v>557324.84</v>
      </c>
      <c r="H118" s="66">
        <f>C118/SUM($E$8:E118)*SUM($F$8:F118)</f>
        <v>-463.74590586833597</v>
      </c>
      <c r="I118" s="66">
        <f>C118/SUM($E$8:E118)*SUM($G$8:G118)</f>
        <v>3512.8959058683367</v>
      </c>
    </row>
    <row r="119" spans="2:9">
      <c r="B119" s="67">
        <f t="shared" si="8"/>
        <v>42663</v>
      </c>
      <c r="C119" s="64">
        <f t="shared" si="5"/>
        <v>-4889.07</v>
      </c>
      <c r="D119" s="69">
        <v>246664.03</v>
      </c>
      <c r="E119" s="68">
        <f t="shared" si="7"/>
        <v>251553.1</v>
      </c>
      <c r="F119" s="64">
        <f t="shared" si="6"/>
        <v>-132000</v>
      </c>
      <c r="G119" s="68">
        <f t="shared" si="9"/>
        <v>383553.1</v>
      </c>
      <c r="H119" s="66">
        <f>C119/SUM($E$8:E119)*SUM($F$8:F119)</f>
        <v>754.99362119044952</v>
      </c>
      <c r="I119" s="66">
        <f>C119/SUM($E$8:E119)*SUM($G$8:G119)</f>
        <v>-5644.0636211904502</v>
      </c>
    </row>
    <row r="120" spans="2:9">
      <c r="B120" s="67">
        <f t="shared" si="8"/>
        <v>42664</v>
      </c>
      <c r="C120" s="64">
        <f t="shared" si="5"/>
        <v>-52940.3</v>
      </c>
      <c r="D120" s="69">
        <v>-1587679.71</v>
      </c>
      <c r="E120" s="68">
        <f t="shared" si="7"/>
        <v>-1534739.41</v>
      </c>
      <c r="F120" s="64">
        <f t="shared" si="6"/>
        <v>-1973295</v>
      </c>
      <c r="G120" s="68">
        <f t="shared" si="9"/>
        <v>438555.59000000008</v>
      </c>
      <c r="H120" s="66">
        <f>C120/SUM($E$8:E120)*SUM($F$8:F120)</f>
        <v>11205.263147139718</v>
      </c>
      <c r="I120" s="66">
        <f>C120/SUM($E$8:E120)*SUM($G$8:G120)</f>
        <v>-64145.563147139736</v>
      </c>
    </row>
    <row r="121" spans="2:9">
      <c r="B121" s="67">
        <f t="shared" si="8"/>
        <v>42665</v>
      </c>
      <c r="C121" s="64">
        <f t="shared" si="5"/>
        <v>0</v>
      </c>
      <c r="D121" s="69">
        <v>353889.37</v>
      </c>
      <c r="E121" s="68">
        <f t="shared" si="7"/>
        <v>353889.37</v>
      </c>
      <c r="F121" s="64">
        <f t="shared" si="6"/>
        <v>0</v>
      </c>
      <c r="G121" s="68">
        <f t="shared" si="9"/>
        <v>353889.37</v>
      </c>
      <c r="H121" s="66">
        <f>C121/SUM($E$8:E121)*SUM($F$8:F121)</f>
        <v>0</v>
      </c>
      <c r="I121" s="66">
        <f>C121/SUM($E$8:E121)*SUM($G$8:G121)</f>
        <v>0</v>
      </c>
    </row>
    <row r="122" spans="2:9">
      <c r="B122" s="67">
        <f t="shared" si="8"/>
        <v>42666</v>
      </c>
      <c r="C122" s="64">
        <f t="shared" si="5"/>
        <v>0</v>
      </c>
      <c r="D122" s="69">
        <v>353870.62</v>
      </c>
      <c r="E122" s="68">
        <f t="shared" si="7"/>
        <v>353870.62</v>
      </c>
      <c r="F122" s="64">
        <f t="shared" si="6"/>
        <v>0</v>
      </c>
      <c r="G122" s="68">
        <f t="shared" si="9"/>
        <v>353870.62</v>
      </c>
      <c r="H122" s="66">
        <f>C122/SUM($E$8:E122)*SUM($F$8:F122)</f>
        <v>0</v>
      </c>
      <c r="I122" s="66">
        <f>C122/SUM($E$8:E122)*SUM($G$8:G122)</f>
        <v>0</v>
      </c>
    </row>
    <row r="123" spans="2:9">
      <c r="B123" s="67">
        <f t="shared" si="8"/>
        <v>42667</v>
      </c>
      <c r="C123" s="64">
        <f t="shared" si="5"/>
        <v>0</v>
      </c>
      <c r="D123" s="69">
        <v>-2736899.08</v>
      </c>
      <c r="E123" s="68">
        <f t="shared" si="7"/>
        <v>-2736899.08</v>
      </c>
      <c r="F123" s="64">
        <f t="shared" si="6"/>
        <v>-3228968</v>
      </c>
      <c r="G123" s="68">
        <f t="shared" si="9"/>
        <v>492068.91999999993</v>
      </c>
      <c r="H123" s="66">
        <f>C123/SUM($E$8:E123)*SUM($F$8:F123)</f>
        <v>0</v>
      </c>
      <c r="I123" s="66">
        <f>C123/SUM($E$8:E123)*SUM($G$8:G123)</f>
        <v>0</v>
      </c>
    </row>
    <row r="124" spans="2:9">
      <c r="B124" s="67">
        <f t="shared" si="8"/>
        <v>42668</v>
      </c>
      <c r="C124" s="64">
        <f t="shared" si="5"/>
        <v>59497.53</v>
      </c>
      <c r="D124" s="69">
        <v>-1705081.17</v>
      </c>
      <c r="E124" s="68">
        <f t="shared" si="7"/>
        <v>-1764578.7</v>
      </c>
      <c r="F124" s="64">
        <f t="shared" si="6"/>
        <v>-2063333</v>
      </c>
      <c r="G124" s="68">
        <f t="shared" si="9"/>
        <v>298754.30000000005</v>
      </c>
      <c r="H124" s="66">
        <f>C124/SUM($E$8:E124)*SUM($F$8:F124)</f>
        <v>-23006.731069460209</v>
      </c>
      <c r="I124" s="66">
        <f>C124/SUM($E$8:E124)*SUM($G$8:G124)</f>
        <v>82504.261069460219</v>
      </c>
    </row>
    <row r="125" spans="2:9">
      <c r="B125" s="67">
        <f t="shared" si="8"/>
        <v>42669</v>
      </c>
      <c r="C125" s="64">
        <f t="shared" si="5"/>
        <v>66231.710000000006</v>
      </c>
      <c r="D125" s="69">
        <v>365065.45</v>
      </c>
      <c r="E125" s="68">
        <f t="shared" si="7"/>
        <v>298833.74</v>
      </c>
      <c r="F125" s="64">
        <f t="shared" si="6"/>
        <v>0</v>
      </c>
      <c r="G125" s="68">
        <f t="shared" si="9"/>
        <v>298833.74</v>
      </c>
      <c r="H125" s="66">
        <f>C125/SUM($E$8:E125)*SUM($F$8:F125)</f>
        <v>-25392.833772012276</v>
      </c>
      <c r="I125" s="66">
        <f>C125/SUM($E$8:E125)*SUM($G$8:G125)</f>
        <v>91624.543772012301</v>
      </c>
    </row>
    <row r="126" spans="2:9">
      <c r="B126" s="67">
        <f t="shared" si="8"/>
        <v>42670</v>
      </c>
      <c r="C126" s="64">
        <f t="shared" si="5"/>
        <v>2303348.66</v>
      </c>
      <c r="D126" s="69">
        <v>-1124055.18</v>
      </c>
      <c r="E126" s="68">
        <f t="shared" si="7"/>
        <v>-3427403.84</v>
      </c>
      <c r="F126" s="64">
        <f t="shared" si="6"/>
        <v>-1443600</v>
      </c>
      <c r="G126" s="68">
        <f t="shared" si="9"/>
        <v>-1983803.8399999999</v>
      </c>
      <c r="H126" s="66">
        <f>C126/SUM($E$8:E126)*SUM($F$8:F126)</f>
        <v>-1083484.6620759319</v>
      </c>
      <c r="I126" s="66">
        <f>C126/SUM($E$8:E126)*SUM($G$8:G126)</f>
        <v>3386833.3220759328</v>
      </c>
    </row>
    <row r="127" spans="2:9">
      <c r="B127" s="67">
        <f t="shared" si="8"/>
        <v>42671</v>
      </c>
      <c r="C127" s="64">
        <f t="shared" si="5"/>
        <v>0</v>
      </c>
      <c r="D127" s="69">
        <v>-828578.82</v>
      </c>
      <c r="E127" s="68">
        <f t="shared" si="7"/>
        <v>-828578.82</v>
      </c>
      <c r="F127" s="64">
        <f t="shared" si="6"/>
        <v>-1129662.5</v>
      </c>
      <c r="G127" s="68">
        <f t="shared" si="9"/>
        <v>301083.68000000005</v>
      </c>
      <c r="H127" s="66">
        <f>C127/SUM($E$8:E127)*SUM($F$8:F127)</f>
        <v>0</v>
      </c>
      <c r="I127" s="66">
        <f>C127/SUM($E$8:E127)*SUM($G$8:G127)</f>
        <v>0</v>
      </c>
    </row>
    <row r="128" spans="2:9">
      <c r="B128" s="67">
        <f t="shared" si="8"/>
        <v>42672</v>
      </c>
      <c r="C128" s="64">
        <f t="shared" si="5"/>
        <v>0</v>
      </c>
      <c r="D128" s="69">
        <v>304529.89</v>
      </c>
      <c r="E128" s="68">
        <f t="shared" si="7"/>
        <v>304529.89</v>
      </c>
      <c r="F128" s="64">
        <f t="shared" si="6"/>
        <v>0</v>
      </c>
      <c r="G128" s="68">
        <f t="shared" si="9"/>
        <v>304529.89</v>
      </c>
      <c r="H128" s="66">
        <f>C128/SUM($E$8:E128)*SUM($F$8:F128)</f>
        <v>0</v>
      </c>
      <c r="I128" s="66">
        <f>C128/SUM($E$8:E128)*SUM($G$8:G128)</f>
        <v>0</v>
      </c>
    </row>
    <row r="129" spans="2:9">
      <c r="B129" s="67">
        <f t="shared" si="8"/>
        <v>42673</v>
      </c>
      <c r="C129" s="64">
        <f t="shared" si="5"/>
        <v>0</v>
      </c>
      <c r="D129" s="69">
        <v>316831.05</v>
      </c>
      <c r="E129" s="68">
        <f t="shared" si="7"/>
        <v>316831.05</v>
      </c>
      <c r="F129" s="64">
        <f t="shared" si="6"/>
        <v>0</v>
      </c>
      <c r="G129" s="68">
        <f t="shared" si="9"/>
        <v>316831.05</v>
      </c>
      <c r="H129" s="66">
        <f>C129/SUM($E$8:E129)*SUM($F$8:F129)</f>
        <v>0</v>
      </c>
      <c r="I129" s="66">
        <f>C129/SUM($E$8:E129)*SUM($G$8:G129)</f>
        <v>0</v>
      </c>
    </row>
    <row r="130" spans="2:9">
      <c r="B130" s="67">
        <f t="shared" si="8"/>
        <v>42674</v>
      </c>
      <c r="C130" s="64">
        <f t="shared" si="5"/>
        <v>-272849.91999999998</v>
      </c>
      <c r="D130" s="69">
        <v>-427864.69</v>
      </c>
      <c r="E130" s="68">
        <f t="shared" si="7"/>
        <v>-155014.77000000002</v>
      </c>
      <c r="F130" s="64">
        <f t="shared" si="6"/>
        <v>0</v>
      </c>
      <c r="G130" s="68">
        <f t="shared" si="9"/>
        <v>-155014.77000000002</v>
      </c>
      <c r="H130" s="66">
        <f>C130/SUM($E$8:E130)*SUM($F$8:F130)</f>
        <v>139667.85534833351</v>
      </c>
      <c r="I130" s="66">
        <f>C130/SUM($E$8:E130)*SUM($G$8:G130)</f>
        <v>-412517.77534833353</v>
      </c>
    </row>
    <row r="131" spans="2:9">
      <c r="B131" s="67">
        <f t="shared" si="8"/>
        <v>42675</v>
      </c>
      <c r="C131" s="64">
        <f t="shared" si="5"/>
        <v>0</v>
      </c>
      <c r="D131" s="69">
        <v>360499.77</v>
      </c>
      <c r="E131" s="68">
        <f t="shared" si="7"/>
        <v>360499.77</v>
      </c>
      <c r="F131" s="64">
        <f t="shared" si="6"/>
        <v>0</v>
      </c>
      <c r="G131" s="68">
        <f t="shared" si="9"/>
        <v>360499.77</v>
      </c>
      <c r="H131" s="66">
        <f>C131/SUM($E$8:E131)*SUM($F$8:F131)</f>
        <v>0</v>
      </c>
      <c r="I131" s="66">
        <f>C131/SUM($E$8:E131)*SUM($G$8:G131)</f>
        <v>0</v>
      </c>
    </row>
    <row r="132" spans="2:9">
      <c r="B132" s="67">
        <f t="shared" si="8"/>
        <v>42676</v>
      </c>
      <c r="C132" s="64">
        <f t="shared" si="5"/>
        <v>-784.43000000000029</v>
      </c>
      <c r="D132" s="69">
        <v>282964.2</v>
      </c>
      <c r="E132" s="68">
        <f t="shared" si="7"/>
        <v>283748.63</v>
      </c>
      <c r="F132" s="64">
        <f t="shared" si="6"/>
        <v>0</v>
      </c>
      <c r="G132" s="68">
        <f t="shared" si="9"/>
        <v>283748.63</v>
      </c>
      <c r="H132" s="66">
        <f>C132/SUM($E$8:E132)*SUM($F$8:F132)</f>
        <v>393.44866594927339</v>
      </c>
      <c r="I132" s="66">
        <f>C132/SUM($E$8:E132)*SUM($G$8:G132)</f>
        <v>-1177.8786659492739</v>
      </c>
    </row>
    <row r="133" spans="2:9">
      <c r="B133" s="67">
        <f t="shared" si="8"/>
        <v>42677</v>
      </c>
      <c r="C133" s="64">
        <f t="shared" si="5"/>
        <v>-15766.289999999997</v>
      </c>
      <c r="D133" s="69">
        <v>418630.01</v>
      </c>
      <c r="E133" s="68">
        <f t="shared" si="7"/>
        <v>434396.3</v>
      </c>
      <c r="F133" s="64">
        <f t="shared" si="6"/>
        <v>0</v>
      </c>
      <c r="G133" s="68">
        <f t="shared" si="9"/>
        <v>434396.3</v>
      </c>
      <c r="H133" s="66">
        <f>C133/SUM($E$8:E133)*SUM($F$8:F133)</f>
        <v>7801.9587396681545</v>
      </c>
      <c r="I133" s="66">
        <f>C133/SUM($E$8:E133)*SUM($G$8:G133)</f>
        <v>-23568.248739668154</v>
      </c>
    </row>
    <row r="134" spans="2:9">
      <c r="B134" s="67">
        <f t="shared" si="8"/>
        <v>42678</v>
      </c>
      <c r="C134" s="64">
        <f t="shared" si="5"/>
        <v>1007612.8099999999</v>
      </c>
      <c r="D134" s="69">
        <v>400922.76</v>
      </c>
      <c r="E134" s="68">
        <f t="shared" si="7"/>
        <v>-606690.04999999993</v>
      </c>
      <c r="F134" s="64">
        <f t="shared" si="6"/>
        <v>0</v>
      </c>
      <c r="G134" s="68">
        <f t="shared" si="9"/>
        <v>-606690.04999999993</v>
      </c>
      <c r="H134" s="66">
        <f>C134/SUM($E$8:E134)*SUM($F$8:F134)</f>
        <v>-508128.76104664378</v>
      </c>
      <c r="I134" s="66">
        <f>C134/SUM($E$8:E134)*SUM($G$8:G134)</f>
        <v>1515741.5710466439</v>
      </c>
    </row>
    <row r="135" spans="2:9">
      <c r="B135" s="67">
        <f t="shared" si="8"/>
        <v>42679</v>
      </c>
      <c r="C135" s="64">
        <f t="shared" si="5"/>
        <v>0</v>
      </c>
      <c r="D135" s="69">
        <v>284871.67</v>
      </c>
      <c r="E135" s="68">
        <f t="shared" si="7"/>
        <v>284871.67</v>
      </c>
      <c r="F135" s="64">
        <f t="shared" si="6"/>
        <v>0</v>
      </c>
      <c r="G135" s="68">
        <f t="shared" si="9"/>
        <v>284871.67</v>
      </c>
      <c r="H135" s="66">
        <f>C135/SUM($E$8:E135)*SUM($F$8:F135)</f>
        <v>0</v>
      </c>
      <c r="I135" s="66">
        <f>C135/SUM($E$8:E135)*SUM($G$8:G135)</f>
        <v>0</v>
      </c>
    </row>
    <row r="136" spans="2:9">
      <c r="B136" s="67">
        <f t="shared" si="8"/>
        <v>42680</v>
      </c>
      <c r="C136" s="64">
        <f t="shared" ref="C136:C199" si="10">SUMIF($D$377:$D$1380,B136,$E$377:$E$1380)</f>
        <v>0</v>
      </c>
      <c r="D136" s="69">
        <v>317621.45</v>
      </c>
      <c r="E136" s="68">
        <f t="shared" si="7"/>
        <v>317621.45</v>
      </c>
      <c r="F136" s="64">
        <f t="shared" ref="F136:F199" si="11">SUMIF($B$376:$B$747,B136,$C$376:$C$747)</f>
        <v>0</v>
      </c>
      <c r="G136" s="68">
        <f t="shared" si="9"/>
        <v>317621.45</v>
      </c>
      <c r="H136" s="66">
        <f>C136/SUM($E$8:E136)*SUM($F$8:F136)</f>
        <v>0</v>
      </c>
      <c r="I136" s="66">
        <f>C136/SUM($E$8:E136)*SUM($G$8:G136)</f>
        <v>0</v>
      </c>
    </row>
    <row r="137" spans="2:9">
      <c r="B137" s="67">
        <f t="shared" si="8"/>
        <v>42681</v>
      </c>
      <c r="C137" s="64">
        <f t="shared" si="10"/>
        <v>0</v>
      </c>
      <c r="D137" s="69">
        <v>308115.82</v>
      </c>
      <c r="E137" s="68">
        <f t="shared" ref="E137:E200" si="12">+D137-C137</f>
        <v>308115.82</v>
      </c>
      <c r="F137" s="64">
        <f t="shared" si="11"/>
        <v>0</v>
      </c>
      <c r="G137" s="68">
        <f t="shared" si="9"/>
        <v>308115.82</v>
      </c>
      <c r="H137" s="66">
        <f>C137/SUM($E$8:E137)*SUM($F$8:F137)</f>
        <v>0</v>
      </c>
      <c r="I137" s="66">
        <f>C137/SUM($E$8:E137)*SUM($G$8:G137)</f>
        <v>0</v>
      </c>
    </row>
    <row r="138" spans="2:9">
      <c r="B138" s="67">
        <f t="shared" ref="B138:B201" si="13">+B137+1</f>
        <v>42682</v>
      </c>
      <c r="C138" s="64">
        <f t="shared" si="10"/>
        <v>26873.160000000003</v>
      </c>
      <c r="D138" s="69">
        <v>344354.13</v>
      </c>
      <c r="E138" s="68">
        <f t="shared" si="12"/>
        <v>317480.96999999997</v>
      </c>
      <c r="F138" s="64">
        <f t="shared" si="11"/>
        <v>0</v>
      </c>
      <c r="G138" s="68">
        <f t="shared" ref="G138:G201" si="14">E138-F138</f>
        <v>317480.96999999997</v>
      </c>
      <c r="H138" s="66">
        <f>C138/SUM($E$8:E138)*SUM($F$8:F138)</f>
        <v>-13048.051686527349</v>
      </c>
      <c r="I138" s="66">
        <f>C138/SUM($E$8:E138)*SUM($G$8:G138)</f>
        <v>39921.211686527364</v>
      </c>
    </row>
    <row r="139" spans="2:9">
      <c r="B139" s="67">
        <f t="shared" si="13"/>
        <v>42683</v>
      </c>
      <c r="C139" s="64">
        <f t="shared" si="10"/>
        <v>-8252.0199999999986</v>
      </c>
      <c r="D139" s="69">
        <v>322934.89</v>
      </c>
      <c r="E139" s="68">
        <f t="shared" si="12"/>
        <v>331186.91000000003</v>
      </c>
      <c r="F139" s="64">
        <f t="shared" si="11"/>
        <v>0</v>
      </c>
      <c r="G139" s="68">
        <f t="shared" si="14"/>
        <v>331186.91000000003</v>
      </c>
      <c r="H139" s="66">
        <f>C139/SUM($E$8:E139)*SUM($F$8:F139)</f>
        <v>3966.9328460592433</v>
      </c>
      <c r="I139" s="66">
        <f>C139/SUM($E$8:E139)*SUM($G$8:G139)</f>
        <v>-12218.952846059243</v>
      </c>
    </row>
    <row r="140" spans="2:9">
      <c r="B140" s="67">
        <f t="shared" si="13"/>
        <v>42684</v>
      </c>
      <c r="C140" s="64">
        <f t="shared" si="10"/>
        <v>152782.16999999998</v>
      </c>
      <c r="D140" s="69">
        <v>199611.57</v>
      </c>
      <c r="E140" s="68">
        <f t="shared" si="12"/>
        <v>46829.400000000023</v>
      </c>
      <c r="F140" s="64">
        <f t="shared" si="11"/>
        <v>0</v>
      </c>
      <c r="G140" s="68">
        <f t="shared" si="14"/>
        <v>46829.400000000023</v>
      </c>
      <c r="H140" s="66">
        <f>C140/SUM($E$8:E140)*SUM($F$8:F140)</f>
        <v>-73342.909498316192</v>
      </c>
      <c r="I140" s="66">
        <f>C140/SUM($E$8:E140)*SUM($G$8:G140)</f>
        <v>226125.07949831622</v>
      </c>
    </row>
    <row r="141" spans="2:9">
      <c r="B141" s="67">
        <f t="shared" si="13"/>
        <v>42685</v>
      </c>
      <c r="C141" s="64">
        <f t="shared" si="10"/>
        <v>-62867.240000000005</v>
      </c>
      <c r="D141" s="69">
        <v>414010.38</v>
      </c>
      <c r="E141" s="68">
        <f t="shared" si="12"/>
        <v>476877.62</v>
      </c>
      <c r="F141" s="64">
        <f t="shared" si="11"/>
        <v>148569.60000000001</v>
      </c>
      <c r="G141" s="68">
        <f t="shared" si="14"/>
        <v>328308.02</v>
      </c>
      <c r="H141" s="66">
        <f>C141/SUM($E$8:E141)*SUM($F$8:F141)</f>
        <v>29479.06615483002</v>
      </c>
      <c r="I141" s="66">
        <f>C141/SUM($E$8:E141)*SUM($G$8:G141)</f>
        <v>-92346.306154830032</v>
      </c>
    </row>
    <row r="142" spans="2:9">
      <c r="B142" s="67">
        <f t="shared" si="13"/>
        <v>42686</v>
      </c>
      <c r="C142" s="64">
        <f t="shared" si="10"/>
        <v>0</v>
      </c>
      <c r="D142" s="69">
        <v>335498.84000000003</v>
      </c>
      <c r="E142" s="68">
        <f t="shared" si="12"/>
        <v>335498.84000000003</v>
      </c>
      <c r="F142" s="64">
        <f t="shared" si="11"/>
        <v>0</v>
      </c>
      <c r="G142" s="68">
        <f t="shared" si="14"/>
        <v>335498.84000000003</v>
      </c>
      <c r="H142" s="66">
        <f>C142/SUM($E$8:E142)*SUM($F$8:F142)</f>
        <v>0</v>
      </c>
      <c r="I142" s="66">
        <f>C142/SUM($E$8:E142)*SUM($G$8:G142)</f>
        <v>0</v>
      </c>
    </row>
    <row r="143" spans="2:9">
      <c r="B143" s="67">
        <f t="shared" si="13"/>
        <v>42687</v>
      </c>
      <c r="C143" s="64">
        <f t="shared" si="10"/>
        <v>0</v>
      </c>
      <c r="D143" s="69">
        <v>336006.13</v>
      </c>
      <c r="E143" s="68">
        <f t="shared" si="12"/>
        <v>336006.13</v>
      </c>
      <c r="F143" s="64">
        <f t="shared" si="11"/>
        <v>0</v>
      </c>
      <c r="G143" s="68">
        <f t="shared" si="14"/>
        <v>336006.13</v>
      </c>
      <c r="H143" s="66">
        <f>C143/SUM($E$8:E143)*SUM($F$8:F143)</f>
        <v>0</v>
      </c>
      <c r="I143" s="66">
        <f>C143/SUM($E$8:E143)*SUM($G$8:G143)</f>
        <v>0</v>
      </c>
    </row>
    <row r="144" spans="2:9">
      <c r="B144" s="67">
        <f t="shared" si="13"/>
        <v>42688</v>
      </c>
      <c r="C144" s="64">
        <f t="shared" si="10"/>
        <v>-680.54000000000497</v>
      </c>
      <c r="D144" s="69">
        <v>864645.03</v>
      </c>
      <c r="E144" s="68">
        <f t="shared" si="12"/>
        <v>865325.57000000007</v>
      </c>
      <c r="F144" s="64">
        <f t="shared" si="11"/>
        <v>0</v>
      </c>
      <c r="G144" s="68">
        <f t="shared" si="14"/>
        <v>865325.57000000007</v>
      </c>
      <c r="H144" s="66">
        <f>C144/SUM($E$8:E144)*SUM($F$8:F144)</f>
        <v>305.26838214499372</v>
      </c>
      <c r="I144" s="66">
        <f>C144/SUM($E$8:E144)*SUM($G$8:G144)</f>
        <v>-985.80838214499886</v>
      </c>
    </row>
    <row r="145" spans="2:9">
      <c r="B145" s="67">
        <f t="shared" si="13"/>
        <v>42689</v>
      </c>
      <c r="C145" s="64">
        <f t="shared" si="10"/>
        <v>86709.640000000014</v>
      </c>
      <c r="D145" s="69">
        <v>-64428.38</v>
      </c>
      <c r="E145" s="68">
        <f t="shared" si="12"/>
        <v>-151138.02000000002</v>
      </c>
      <c r="F145" s="64">
        <f t="shared" si="11"/>
        <v>-243150</v>
      </c>
      <c r="G145" s="68">
        <f t="shared" si="14"/>
        <v>92011.979999999981</v>
      </c>
      <c r="H145" s="66">
        <f>C145/SUM($E$8:E145)*SUM($F$8:F145)</f>
        <v>-39659.497656259242</v>
      </c>
      <c r="I145" s="66">
        <f>C145/SUM($E$8:E145)*SUM($G$8:G145)</f>
        <v>126369.13765625928</v>
      </c>
    </row>
    <row r="146" spans="2:9">
      <c r="B146" s="67">
        <f t="shared" si="13"/>
        <v>42690</v>
      </c>
      <c r="C146" s="64">
        <f t="shared" si="10"/>
        <v>118174.46</v>
      </c>
      <c r="D146" s="69">
        <v>329655.95</v>
      </c>
      <c r="E146" s="68">
        <f t="shared" si="12"/>
        <v>211481.49</v>
      </c>
      <c r="F146" s="64">
        <f t="shared" si="11"/>
        <v>0</v>
      </c>
      <c r="G146" s="68">
        <f t="shared" si="14"/>
        <v>211481.49</v>
      </c>
      <c r="H146" s="66">
        <f>C146/SUM($E$8:E146)*SUM($F$8:F146)</f>
        <v>-53728.84790094151</v>
      </c>
      <c r="I146" s="66">
        <f>C146/SUM($E$8:E146)*SUM($G$8:G146)</f>
        <v>171903.30790094155</v>
      </c>
    </row>
    <row r="147" spans="2:9">
      <c r="B147" s="67">
        <f t="shared" si="13"/>
        <v>42691</v>
      </c>
      <c r="C147" s="64">
        <f t="shared" si="10"/>
        <v>50256.020000000004</v>
      </c>
      <c r="D147" s="69">
        <v>586270.17000000004</v>
      </c>
      <c r="E147" s="68">
        <f t="shared" si="12"/>
        <v>536014.15</v>
      </c>
      <c r="F147" s="64">
        <f t="shared" si="11"/>
        <v>-48239</v>
      </c>
      <c r="G147" s="68">
        <f t="shared" si="14"/>
        <v>584253.15</v>
      </c>
      <c r="H147" s="66">
        <f>C147/SUM($E$8:E147)*SUM($F$8:F147)</f>
        <v>-22576.554850818615</v>
      </c>
      <c r="I147" s="66">
        <f>C147/SUM($E$8:E147)*SUM($G$8:G147)</f>
        <v>72832.574850818637</v>
      </c>
    </row>
    <row r="148" spans="2:9">
      <c r="B148" s="67">
        <f t="shared" si="13"/>
        <v>42692</v>
      </c>
      <c r="C148" s="64">
        <f t="shared" si="10"/>
        <v>333131.65999999997</v>
      </c>
      <c r="D148" s="69">
        <v>439779.42</v>
      </c>
      <c r="E148" s="68">
        <f t="shared" si="12"/>
        <v>106647.76000000001</v>
      </c>
      <c r="F148" s="64">
        <f t="shared" si="11"/>
        <v>-87864.4</v>
      </c>
      <c r="G148" s="68">
        <f t="shared" si="14"/>
        <v>194512.16</v>
      </c>
      <c r="H148" s="66">
        <f>C148/SUM($E$8:E148)*SUM($F$8:F148)</f>
        <v>-150021.42903586253</v>
      </c>
      <c r="I148" s="66">
        <f>C148/SUM($E$8:E148)*SUM($G$8:G148)</f>
        <v>483153.08903586259</v>
      </c>
    </row>
    <row r="149" spans="2:9">
      <c r="B149" s="67">
        <f t="shared" si="13"/>
        <v>42693</v>
      </c>
      <c r="C149" s="64">
        <f t="shared" si="10"/>
        <v>0</v>
      </c>
      <c r="D149" s="69">
        <v>278918.98</v>
      </c>
      <c r="E149" s="68">
        <f t="shared" si="12"/>
        <v>278918.98</v>
      </c>
      <c r="F149" s="64">
        <f t="shared" si="11"/>
        <v>0</v>
      </c>
      <c r="G149" s="68">
        <f t="shared" si="14"/>
        <v>278918.98</v>
      </c>
      <c r="H149" s="66">
        <f>C149/SUM($E$8:E149)*SUM($F$8:F149)</f>
        <v>0</v>
      </c>
      <c r="I149" s="66">
        <f>C149/SUM($E$8:E149)*SUM($G$8:G149)</f>
        <v>0</v>
      </c>
    </row>
    <row r="150" spans="2:9">
      <c r="B150" s="67">
        <f t="shared" si="13"/>
        <v>42694</v>
      </c>
      <c r="C150" s="64">
        <f t="shared" si="10"/>
        <v>0</v>
      </c>
      <c r="D150" s="69">
        <v>278854.81</v>
      </c>
      <c r="E150" s="68">
        <f t="shared" si="12"/>
        <v>278854.81</v>
      </c>
      <c r="F150" s="64">
        <f t="shared" si="11"/>
        <v>0</v>
      </c>
      <c r="G150" s="68">
        <f t="shared" si="14"/>
        <v>278854.81</v>
      </c>
      <c r="H150" s="66">
        <f>C150/SUM($E$8:E150)*SUM($F$8:F150)</f>
        <v>0</v>
      </c>
      <c r="I150" s="66">
        <f>C150/SUM($E$8:E150)*SUM($G$8:G150)</f>
        <v>0</v>
      </c>
    </row>
    <row r="151" spans="2:9">
      <c r="B151" s="67">
        <f t="shared" si="13"/>
        <v>42695</v>
      </c>
      <c r="C151" s="64">
        <f t="shared" si="10"/>
        <v>15442.700000000003</v>
      </c>
      <c r="D151" s="69">
        <v>661428.14</v>
      </c>
      <c r="E151" s="68">
        <f t="shared" si="12"/>
        <v>645985.44000000006</v>
      </c>
      <c r="F151" s="64">
        <f t="shared" si="11"/>
        <v>0</v>
      </c>
      <c r="G151" s="68">
        <f t="shared" si="14"/>
        <v>645985.44000000006</v>
      </c>
      <c r="H151" s="66">
        <f>C151/SUM($E$8:E151)*SUM($F$8:F151)</f>
        <v>-6730.1772314159662</v>
      </c>
      <c r="I151" s="66">
        <f>C151/SUM($E$8:E151)*SUM($G$8:G151)</f>
        <v>22172.877231415972</v>
      </c>
    </row>
    <row r="152" spans="2:9">
      <c r="B152" s="67">
        <f t="shared" si="13"/>
        <v>42696</v>
      </c>
      <c r="C152" s="64">
        <f t="shared" si="10"/>
        <v>-25490.22</v>
      </c>
      <c r="D152" s="69">
        <v>264909.37</v>
      </c>
      <c r="E152" s="68">
        <f t="shared" si="12"/>
        <v>290399.58999999997</v>
      </c>
      <c r="F152" s="64">
        <f t="shared" si="11"/>
        <v>0</v>
      </c>
      <c r="G152" s="68">
        <f t="shared" si="14"/>
        <v>290399.58999999997</v>
      </c>
      <c r="H152" s="66">
        <f>C152/SUM($E$8:E152)*SUM($F$8:F152)</f>
        <v>11023.301591381103</v>
      </c>
      <c r="I152" s="66">
        <f>C152/SUM($E$8:E152)*SUM($G$8:G152)</f>
        <v>-36513.521591381104</v>
      </c>
    </row>
    <row r="153" spans="2:9">
      <c r="B153" s="67">
        <f t="shared" si="13"/>
        <v>42697</v>
      </c>
      <c r="C153" s="64">
        <f t="shared" si="10"/>
        <v>-282518.35000000003</v>
      </c>
      <c r="D153" s="69">
        <v>306149.56</v>
      </c>
      <c r="E153" s="68">
        <f t="shared" si="12"/>
        <v>588667.91</v>
      </c>
      <c r="F153" s="64">
        <f t="shared" si="11"/>
        <v>0</v>
      </c>
      <c r="G153" s="68">
        <f t="shared" si="14"/>
        <v>588667.91</v>
      </c>
      <c r="H153" s="66">
        <f>C153/SUM($E$8:E153)*SUM($F$8:F153)</f>
        <v>120293.52043176674</v>
      </c>
      <c r="I153" s="66">
        <f>C153/SUM($E$8:E153)*SUM($G$8:G153)</f>
        <v>-402811.87043176685</v>
      </c>
    </row>
    <row r="154" spans="2:9">
      <c r="B154" s="67">
        <f t="shared" si="13"/>
        <v>42698</v>
      </c>
      <c r="C154" s="64">
        <f t="shared" si="10"/>
        <v>-171377.43</v>
      </c>
      <c r="D154" s="69">
        <v>28717.119999999999</v>
      </c>
      <c r="E154" s="68">
        <f t="shared" si="12"/>
        <v>200094.55</v>
      </c>
      <c r="F154" s="64">
        <f t="shared" si="11"/>
        <v>425</v>
      </c>
      <c r="G154" s="68">
        <f t="shared" si="14"/>
        <v>199669.55</v>
      </c>
      <c r="H154" s="66">
        <f>C154/SUM($E$8:E154)*SUM($F$8:F154)</f>
        <v>72588.801939188052</v>
      </c>
      <c r="I154" s="66">
        <f>C154/SUM($E$8:E154)*SUM($G$8:G154)</f>
        <v>-243966.23193918806</v>
      </c>
    </row>
    <row r="155" spans="2:9">
      <c r="B155" s="67">
        <f t="shared" si="13"/>
        <v>42699</v>
      </c>
      <c r="C155" s="64">
        <f t="shared" si="10"/>
        <v>-21907.579999999998</v>
      </c>
      <c r="D155" s="69">
        <v>576652.27</v>
      </c>
      <c r="E155" s="68">
        <f t="shared" si="12"/>
        <v>598559.85</v>
      </c>
      <c r="F155" s="64">
        <f t="shared" si="11"/>
        <v>0</v>
      </c>
      <c r="G155" s="68">
        <f t="shared" si="14"/>
        <v>598559.85</v>
      </c>
      <c r="H155" s="66">
        <f>C155/SUM($E$8:E155)*SUM($F$8:F155)</f>
        <v>9136.8215739686239</v>
      </c>
      <c r="I155" s="66">
        <f>C155/SUM($E$8:E155)*SUM($G$8:G155)</f>
        <v>-31044.401573968626</v>
      </c>
    </row>
    <row r="156" spans="2:9">
      <c r="B156" s="67">
        <f t="shared" si="13"/>
        <v>42700</v>
      </c>
      <c r="C156" s="64">
        <f t="shared" si="10"/>
        <v>0</v>
      </c>
      <c r="D156" s="69">
        <v>236504.58</v>
      </c>
      <c r="E156" s="68">
        <f t="shared" si="12"/>
        <v>236504.58</v>
      </c>
      <c r="F156" s="64">
        <f t="shared" si="11"/>
        <v>0</v>
      </c>
      <c r="G156" s="68">
        <f t="shared" si="14"/>
        <v>236504.58</v>
      </c>
      <c r="H156" s="66">
        <f>C156/SUM($E$8:E156)*SUM($F$8:F156)</f>
        <v>0</v>
      </c>
      <c r="I156" s="66">
        <f>C156/SUM($E$8:E156)*SUM($G$8:G156)</f>
        <v>0</v>
      </c>
    </row>
    <row r="157" spans="2:9">
      <c r="B157" s="67">
        <f t="shared" si="13"/>
        <v>42701</v>
      </c>
      <c r="C157" s="64">
        <f t="shared" si="10"/>
        <v>0</v>
      </c>
      <c r="D157" s="69">
        <v>394460.8</v>
      </c>
      <c r="E157" s="68">
        <f t="shared" si="12"/>
        <v>394460.8</v>
      </c>
      <c r="F157" s="64">
        <f t="shared" si="11"/>
        <v>0</v>
      </c>
      <c r="G157" s="68">
        <f t="shared" si="14"/>
        <v>394460.8</v>
      </c>
      <c r="H157" s="66">
        <f>C157/SUM($E$8:E157)*SUM($F$8:F157)</f>
        <v>0</v>
      </c>
      <c r="I157" s="66">
        <f>C157/SUM($E$8:E157)*SUM($G$8:G157)</f>
        <v>0</v>
      </c>
    </row>
    <row r="158" spans="2:9">
      <c r="B158" s="67">
        <f t="shared" si="13"/>
        <v>42702</v>
      </c>
      <c r="C158" s="64">
        <f t="shared" si="10"/>
        <v>-152149.65</v>
      </c>
      <c r="D158" s="69">
        <v>190306.39</v>
      </c>
      <c r="E158" s="68">
        <f t="shared" si="12"/>
        <v>342456.04000000004</v>
      </c>
      <c r="F158" s="64">
        <f t="shared" si="11"/>
        <v>-12517.5</v>
      </c>
      <c r="G158" s="68">
        <f t="shared" si="14"/>
        <v>354973.54000000004</v>
      </c>
      <c r="H158" s="66">
        <f>C158/SUM($E$8:E158)*SUM($F$8:F158)</f>
        <v>61958.635375265512</v>
      </c>
      <c r="I158" s="66">
        <f>C158/SUM($E$8:E158)*SUM($G$8:G158)</f>
        <v>-214108.28537526552</v>
      </c>
    </row>
    <row r="159" spans="2:9">
      <c r="B159" s="67">
        <f t="shared" si="13"/>
        <v>42703</v>
      </c>
      <c r="C159" s="64">
        <f t="shared" si="10"/>
        <v>-4686143.04</v>
      </c>
      <c r="D159" s="69">
        <v>340592.79</v>
      </c>
      <c r="E159" s="68">
        <f t="shared" si="12"/>
        <v>5026735.83</v>
      </c>
      <c r="F159" s="64">
        <f t="shared" si="11"/>
        <v>148749.44</v>
      </c>
      <c r="G159" s="68">
        <f t="shared" si="14"/>
        <v>4877986.3899999997</v>
      </c>
      <c r="H159" s="66">
        <f>C159/SUM($E$8:E159)*SUM($F$8:F159)</f>
        <v>1679696.1497197566</v>
      </c>
      <c r="I159" s="66">
        <f>C159/SUM($E$8:E159)*SUM($G$8:G159)</f>
        <v>-6365839.1897197571</v>
      </c>
    </row>
    <row r="160" spans="2:9">
      <c r="B160" s="67">
        <f t="shared" si="13"/>
        <v>42704</v>
      </c>
      <c r="C160" s="64">
        <f t="shared" si="10"/>
        <v>49375.24</v>
      </c>
      <c r="D160" s="69">
        <v>319618.99</v>
      </c>
      <c r="E160" s="68">
        <f t="shared" si="12"/>
        <v>270243.75</v>
      </c>
      <c r="F160" s="64">
        <f t="shared" si="11"/>
        <v>270299.91000000003</v>
      </c>
      <c r="G160" s="68">
        <f t="shared" si="14"/>
        <v>-56.160000000032596</v>
      </c>
      <c r="H160" s="66">
        <f>C160/SUM($E$8:E160)*SUM($F$8:F160)</f>
        <v>-17297.643917362646</v>
      </c>
      <c r="I160" s="66">
        <f>C160/SUM($E$8:E160)*SUM($G$8:G160)</f>
        <v>66672.883917362662</v>
      </c>
    </row>
    <row r="161" spans="2:9">
      <c r="B161" s="67">
        <f t="shared" si="13"/>
        <v>42705</v>
      </c>
      <c r="C161" s="64">
        <f t="shared" si="10"/>
        <v>0</v>
      </c>
      <c r="D161" s="69">
        <v>865713.85</v>
      </c>
      <c r="E161" s="68">
        <f t="shared" si="12"/>
        <v>865713.85</v>
      </c>
      <c r="F161" s="64">
        <f t="shared" si="11"/>
        <v>22103.55</v>
      </c>
      <c r="G161" s="68">
        <f t="shared" si="14"/>
        <v>843610.29999999993</v>
      </c>
      <c r="H161" s="66">
        <f>C161/SUM($E$8:E161)*SUM($F$8:F161)</f>
        <v>0</v>
      </c>
      <c r="I161" s="66">
        <f>C161/SUM($E$8:E161)*SUM($G$8:G161)</f>
        <v>0</v>
      </c>
    </row>
    <row r="162" spans="2:9">
      <c r="B162" s="67">
        <f t="shared" si="13"/>
        <v>42706</v>
      </c>
      <c r="C162" s="64">
        <f t="shared" si="10"/>
        <v>12660.830000000002</v>
      </c>
      <c r="D162" s="69">
        <v>504608.54</v>
      </c>
      <c r="E162" s="68">
        <f t="shared" si="12"/>
        <v>491947.70999999996</v>
      </c>
      <c r="F162" s="64">
        <f t="shared" si="11"/>
        <v>300219.99</v>
      </c>
      <c r="G162" s="68">
        <f t="shared" si="14"/>
        <v>191727.71999999997</v>
      </c>
      <c r="H162" s="66">
        <f>C162/SUM($E$8:E162)*SUM($F$8:F162)</f>
        <v>-4218.8548715304387</v>
      </c>
      <c r="I162" s="66">
        <f>C162/SUM($E$8:E162)*SUM($G$8:G162)</f>
        <v>16879.68487153044</v>
      </c>
    </row>
    <row r="163" spans="2:9">
      <c r="B163" s="67">
        <f t="shared" si="13"/>
        <v>42707</v>
      </c>
      <c r="C163" s="64">
        <f t="shared" si="10"/>
        <v>0</v>
      </c>
      <c r="D163" s="69">
        <v>210943.26</v>
      </c>
      <c r="E163" s="68">
        <f t="shared" si="12"/>
        <v>210943.26</v>
      </c>
      <c r="F163" s="64">
        <f t="shared" si="11"/>
        <v>0</v>
      </c>
      <c r="G163" s="68">
        <f t="shared" si="14"/>
        <v>210943.26</v>
      </c>
      <c r="H163" s="66">
        <f>C163/SUM($E$8:E163)*SUM($F$8:F163)</f>
        <v>0</v>
      </c>
      <c r="I163" s="66">
        <f>C163/SUM($E$8:E163)*SUM($G$8:G163)</f>
        <v>0</v>
      </c>
    </row>
    <row r="164" spans="2:9">
      <c r="B164" s="67">
        <f t="shared" si="13"/>
        <v>42708</v>
      </c>
      <c r="C164" s="64">
        <f t="shared" si="10"/>
        <v>0</v>
      </c>
      <c r="D164" s="69">
        <v>211057.64</v>
      </c>
      <c r="E164" s="68">
        <f t="shared" si="12"/>
        <v>211057.64</v>
      </c>
      <c r="F164" s="64">
        <f t="shared" si="11"/>
        <v>0</v>
      </c>
      <c r="G164" s="68">
        <f t="shared" si="14"/>
        <v>211057.64</v>
      </c>
      <c r="H164" s="66">
        <f>C164/SUM($E$8:E164)*SUM($F$8:F164)</f>
        <v>0</v>
      </c>
      <c r="I164" s="66">
        <f>C164/SUM($E$8:E164)*SUM($G$8:G164)</f>
        <v>0</v>
      </c>
    </row>
    <row r="165" spans="2:9">
      <c r="B165" s="67">
        <f t="shared" si="13"/>
        <v>42709</v>
      </c>
      <c r="C165" s="64">
        <f t="shared" si="10"/>
        <v>-184622.62</v>
      </c>
      <c r="D165" s="69">
        <v>-173671.8</v>
      </c>
      <c r="E165" s="68">
        <f t="shared" si="12"/>
        <v>10950.820000000007</v>
      </c>
      <c r="F165" s="64">
        <f t="shared" si="11"/>
        <v>1229695.31</v>
      </c>
      <c r="G165" s="68">
        <f t="shared" si="14"/>
        <v>-1218744.49</v>
      </c>
      <c r="H165" s="66">
        <f>C165/SUM($E$8:E165)*SUM($F$8:F165)</f>
        <v>56131.221688736834</v>
      </c>
      <c r="I165" s="66">
        <f>C165/SUM($E$8:E165)*SUM($G$8:G165)</f>
        <v>-240753.84168873687</v>
      </c>
    </row>
    <row r="166" spans="2:9">
      <c r="B166" s="67">
        <f t="shared" si="13"/>
        <v>42710</v>
      </c>
      <c r="C166" s="64">
        <f t="shared" si="10"/>
        <v>-42515.479999999996</v>
      </c>
      <c r="D166" s="69">
        <v>323831.12</v>
      </c>
      <c r="E166" s="68">
        <f t="shared" si="12"/>
        <v>366346.6</v>
      </c>
      <c r="F166" s="64">
        <f t="shared" si="11"/>
        <v>817041.95</v>
      </c>
      <c r="G166" s="68">
        <f t="shared" si="14"/>
        <v>-450695.35</v>
      </c>
      <c r="H166" s="66">
        <f>C166/SUM($E$8:E166)*SUM($F$8:F166)</f>
        <v>12093.990368567804</v>
      </c>
      <c r="I166" s="66">
        <f>C166/SUM($E$8:E166)*SUM($G$8:G166)</f>
        <v>-54609.470368567803</v>
      </c>
    </row>
    <row r="167" spans="2:9">
      <c r="B167" s="67">
        <f t="shared" si="13"/>
        <v>42711</v>
      </c>
      <c r="C167" s="64">
        <f t="shared" si="10"/>
        <v>103826.55</v>
      </c>
      <c r="D167" s="69">
        <v>259357.07</v>
      </c>
      <c r="E167" s="68">
        <f t="shared" si="12"/>
        <v>155530.52000000002</v>
      </c>
      <c r="F167" s="64">
        <f t="shared" si="11"/>
        <v>168254.2</v>
      </c>
      <c r="G167" s="68">
        <f t="shared" si="14"/>
        <v>-12723.679999999993</v>
      </c>
      <c r="H167" s="66">
        <f>C167/SUM($E$8:E167)*SUM($F$8:F167)</f>
        <v>-29071.022841662958</v>
      </c>
      <c r="I167" s="66">
        <f>C167/SUM($E$8:E167)*SUM($G$8:G167)</f>
        <v>132897.57284166294</v>
      </c>
    </row>
    <row r="168" spans="2:9">
      <c r="B168" s="67">
        <f t="shared" si="13"/>
        <v>42712</v>
      </c>
      <c r="C168" s="64">
        <f t="shared" si="10"/>
        <v>184950.88</v>
      </c>
      <c r="D168" s="69">
        <v>847299.14</v>
      </c>
      <c r="E168" s="68">
        <f t="shared" si="12"/>
        <v>662348.26</v>
      </c>
      <c r="F168" s="64">
        <f t="shared" si="11"/>
        <v>0</v>
      </c>
      <c r="G168" s="68">
        <f t="shared" si="14"/>
        <v>662348.26</v>
      </c>
      <c r="H168" s="66">
        <f>C168/SUM($E$8:E168)*SUM($F$8:F168)</f>
        <v>-51074.717470940181</v>
      </c>
      <c r="I168" s="66">
        <f>C168/SUM($E$8:E168)*SUM($G$8:G168)</f>
        <v>236025.59747094018</v>
      </c>
    </row>
    <row r="169" spans="2:9">
      <c r="B169" s="67">
        <f t="shared" si="13"/>
        <v>42713</v>
      </c>
      <c r="C169" s="64">
        <f t="shared" si="10"/>
        <v>-870398.88</v>
      </c>
      <c r="D169" s="69">
        <v>282864.21000000002</v>
      </c>
      <c r="E169" s="68">
        <f t="shared" si="12"/>
        <v>1153263.0900000001</v>
      </c>
      <c r="F169" s="64">
        <f t="shared" si="11"/>
        <v>0</v>
      </c>
      <c r="G169" s="68">
        <f t="shared" si="14"/>
        <v>1153263.0900000001</v>
      </c>
      <c r="H169" s="66">
        <f>C169/SUM($E$8:E169)*SUM($F$8:F169)</f>
        <v>234752.8063820992</v>
      </c>
      <c r="I169" s="66">
        <f>C169/SUM($E$8:E169)*SUM($G$8:G169)</f>
        <v>-1105151.6863820991</v>
      </c>
    </row>
    <row r="170" spans="2:9">
      <c r="B170" s="67">
        <f t="shared" si="13"/>
        <v>42714</v>
      </c>
      <c r="C170" s="64">
        <f t="shared" si="10"/>
        <v>0</v>
      </c>
      <c r="D170" s="69">
        <v>8091.3</v>
      </c>
      <c r="E170" s="68">
        <f t="shared" si="12"/>
        <v>8091.3</v>
      </c>
      <c r="F170" s="64">
        <f t="shared" si="11"/>
        <v>0</v>
      </c>
      <c r="G170" s="68">
        <f t="shared" si="14"/>
        <v>8091.3</v>
      </c>
      <c r="H170" s="66">
        <f>C170/SUM($E$8:E170)*SUM($F$8:F170)</f>
        <v>0</v>
      </c>
      <c r="I170" s="66">
        <f>C170/SUM($E$8:E170)*SUM($G$8:G170)</f>
        <v>0</v>
      </c>
    </row>
    <row r="171" spans="2:9">
      <c r="B171" s="67">
        <f t="shared" si="13"/>
        <v>42715</v>
      </c>
      <c r="C171" s="64">
        <f t="shared" si="10"/>
        <v>0</v>
      </c>
      <c r="D171" s="69">
        <v>47629.51</v>
      </c>
      <c r="E171" s="68">
        <f t="shared" si="12"/>
        <v>47629.51</v>
      </c>
      <c r="F171" s="64">
        <f t="shared" si="11"/>
        <v>0</v>
      </c>
      <c r="G171" s="68">
        <f t="shared" si="14"/>
        <v>47629.51</v>
      </c>
      <c r="H171" s="66">
        <f>C171/SUM($E$8:E171)*SUM($F$8:F171)</f>
        <v>0</v>
      </c>
      <c r="I171" s="66">
        <f>C171/SUM($E$8:E171)*SUM($G$8:G171)</f>
        <v>0</v>
      </c>
    </row>
    <row r="172" spans="2:9">
      <c r="B172" s="67">
        <f t="shared" si="13"/>
        <v>42716</v>
      </c>
      <c r="C172" s="64">
        <f t="shared" si="10"/>
        <v>0</v>
      </c>
      <c r="D172" s="69">
        <v>225518.73</v>
      </c>
      <c r="E172" s="68">
        <f t="shared" si="12"/>
        <v>225518.73</v>
      </c>
      <c r="F172" s="64">
        <f t="shared" si="11"/>
        <v>0</v>
      </c>
      <c r="G172" s="68">
        <f t="shared" si="14"/>
        <v>225518.73</v>
      </c>
      <c r="H172" s="66">
        <f>C172/SUM($E$8:E172)*SUM($F$8:F172)</f>
        <v>0</v>
      </c>
      <c r="I172" s="66">
        <f>C172/SUM($E$8:E172)*SUM($G$8:G172)</f>
        <v>0</v>
      </c>
    </row>
    <row r="173" spans="2:9">
      <c r="B173" s="67">
        <f t="shared" si="13"/>
        <v>42717</v>
      </c>
      <c r="C173" s="64">
        <f t="shared" si="10"/>
        <v>0</v>
      </c>
      <c r="D173" s="69">
        <v>437622.32</v>
      </c>
      <c r="E173" s="68">
        <f t="shared" si="12"/>
        <v>437622.32</v>
      </c>
      <c r="F173" s="64">
        <f t="shared" si="11"/>
        <v>5307.48</v>
      </c>
      <c r="G173" s="68">
        <f t="shared" si="14"/>
        <v>432314.84</v>
      </c>
      <c r="H173" s="66">
        <f>C173/SUM($E$8:E173)*SUM($F$8:F173)</f>
        <v>0</v>
      </c>
      <c r="I173" s="66">
        <f>C173/SUM($E$8:E173)*SUM($G$8:G173)</f>
        <v>0</v>
      </c>
    </row>
    <row r="174" spans="2:9">
      <c r="B174" s="67">
        <f t="shared" si="13"/>
        <v>42718</v>
      </c>
      <c r="C174" s="64">
        <f t="shared" si="10"/>
        <v>-607749.28</v>
      </c>
      <c r="D174" s="69">
        <v>431645.63</v>
      </c>
      <c r="E174" s="68">
        <f t="shared" si="12"/>
        <v>1039394.91</v>
      </c>
      <c r="F174" s="64">
        <f t="shared" si="11"/>
        <v>0</v>
      </c>
      <c r="G174" s="68">
        <f t="shared" si="14"/>
        <v>1039394.91</v>
      </c>
      <c r="H174" s="66">
        <f>C174/SUM($E$8:E174)*SUM($F$8:F174)</f>
        <v>158218.71834437162</v>
      </c>
      <c r="I174" s="66">
        <f>C174/SUM($E$8:E174)*SUM($G$8:G174)</f>
        <v>-765967.99834437168</v>
      </c>
    </row>
    <row r="175" spans="2:9">
      <c r="B175" s="67">
        <f t="shared" si="13"/>
        <v>42719</v>
      </c>
      <c r="C175" s="64">
        <f t="shared" si="10"/>
        <v>-181659.87999999992</v>
      </c>
      <c r="D175" s="69">
        <v>543767.01</v>
      </c>
      <c r="E175" s="68">
        <f t="shared" si="12"/>
        <v>725426.8899999999</v>
      </c>
      <c r="F175" s="64">
        <f t="shared" si="11"/>
        <v>103797.48</v>
      </c>
      <c r="G175" s="68">
        <f t="shared" si="14"/>
        <v>621629.40999999992</v>
      </c>
      <c r="H175" s="66">
        <f>C175/SUM($E$8:E175)*SUM($F$8:F175)</f>
        <v>46268.036729376647</v>
      </c>
      <c r="I175" s="66">
        <f>C175/SUM($E$8:E175)*SUM($G$8:G175)</f>
        <v>-227927.91672937656</v>
      </c>
    </row>
    <row r="176" spans="2:9">
      <c r="B176" s="67">
        <f t="shared" si="13"/>
        <v>42720</v>
      </c>
      <c r="C176" s="64">
        <f t="shared" si="10"/>
        <v>-1309617.08</v>
      </c>
      <c r="D176" s="69">
        <v>258727.27</v>
      </c>
      <c r="E176" s="68">
        <f t="shared" si="12"/>
        <v>1568344.35</v>
      </c>
      <c r="F176" s="64">
        <f t="shared" si="11"/>
        <v>399663.45</v>
      </c>
      <c r="G176" s="68">
        <f t="shared" si="14"/>
        <v>1168680.9000000001</v>
      </c>
      <c r="H176" s="66">
        <f>C176/SUM($E$8:E176)*SUM($F$8:F176)</f>
        <v>313978.55107874644</v>
      </c>
      <c r="I176" s="66">
        <f>C176/SUM($E$8:E176)*SUM($G$8:G176)</f>
        <v>-1623595.6310787464</v>
      </c>
    </row>
    <row r="177" spans="2:9">
      <c r="B177" s="67">
        <f t="shared" si="13"/>
        <v>42721</v>
      </c>
      <c r="C177" s="64">
        <f t="shared" si="10"/>
        <v>0</v>
      </c>
      <c r="D177" s="69">
        <v>222221.64</v>
      </c>
      <c r="E177" s="68">
        <f t="shared" si="12"/>
        <v>222221.64</v>
      </c>
      <c r="F177" s="64">
        <f t="shared" si="11"/>
        <v>0</v>
      </c>
      <c r="G177" s="68">
        <f t="shared" si="14"/>
        <v>222221.64</v>
      </c>
      <c r="H177" s="66">
        <f>C177/SUM($E$8:E177)*SUM($F$8:F177)</f>
        <v>0</v>
      </c>
      <c r="I177" s="66">
        <f>C177/SUM($E$8:E177)*SUM($G$8:G177)</f>
        <v>0</v>
      </c>
    </row>
    <row r="178" spans="2:9">
      <c r="B178" s="67">
        <f t="shared" si="13"/>
        <v>42722</v>
      </c>
      <c r="C178" s="64">
        <f t="shared" si="10"/>
        <v>0</v>
      </c>
      <c r="D178" s="69">
        <v>223341.08</v>
      </c>
      <c r="E178" s="68">
        <f t="shared" si="12"/>
        <v>223341.08</v>
      </c>
      <c r="F178" s="64">
        <f t="shared" si="11"/>
        <v>0</v>
      </c>
      <c r="G178" s="68">
        <f t="shared" si="14"/>
        <v>223341.08</v>
      </c>
      <c r="H178" s="66">
        <f>C178/SUM($E$8:E178)*SUM($F$8:F178)</f>
        <v>0</v>
      </c>
      <c r="I178" s="66">
        <f>C178/SUM($E$8:E178)*SUM($G$8:G178)</f>
        <v>0</v>
      </c>
    </row>
    <row r="179" spans="2:9">
      <c r="B179" s="67">
        <f t="shared" si="13"/>
        <v>42723</v>
      </c>
      <c r="C179" s="64">
        <f t="shared" si="10"/>
        <v>-399470.72</v>
      </c>
      <c r="D179" s="69">
        <v>365171.9</v>
      </c>
      <c r="E179" s="68">
        <f t="shared" si="12"/>
        <v>764642.62</v>
      </c>
      <c r="F179" s="64">
        <f t="shared" si="11"/>
        <v>0</v>
      </c>
      <c r="G179" s="68">
        <f t="shared" si="14"/>
        <v>764642.62</v>
      </c>
      <c r="H179" s="66">
        <f>C179/SUM($E$8:E179)*SUM($F$8:F179)</f>
        <v>93652.429028014361</v>
      </c>
      <c r="I179" s="66">
        <f>C179/SUM($E$8:E179)*SUM($G$8:G179)</f>
        <v>-493123.14902801433</v>
      </c>
    </row>
    <row r="180" spans="2:9">
      <c r="B180" s="67">
        <f t="shared" si="13"/>
        <v>42724</v>
      </c>
      <c r="C180" s="64">
        <f t="shared" si="10"/>
        <v>903886.49</v>
      </c>
      <c r="D180" s="69">
        <v>59481.93</v>
      </c>
      <c r="E180" s="68">
        <f t="shared" si="12"/>
        <v>-844404.55999999994</v>
      </c>
      <c r="F180" s="64">
        <f t="shared" si="11"/>
        <v>559399</v>
      </c>
      <c r="G180" s="68">
        <f t="shared" si="14"/>
        <v>-1403803.56</v>
      </c>
      <c r="H180" s="66">
        <f>C180/SUM($E$8:E180)*SUM($F$8:F180)</f>
        <v>-205838.91051256045</v>
      </c>
      <c r="I180" s="66">
        <f>C180/SUM($E$8:E180)*SUM($G$8:G180)</f>
        <v>1109725.4005125603</v>
      </c>
    </row>
    <row r="181" spans="2:9">
      <c r="B181" s="67">
        <f t="shared" si="13"/>
        <v>42725</v>
      </c>
      <c r="C181" s="64">
        <f t="shared" si="10"/>
        <v>-148029.75000000003</v>
      </c>
      <c r="D181" s="69">
        <v>-450685.61</v>
      </c>
      <c r="E181" s="68">
        <f t="shared" si="12"/>
        <v>-302655.86</v>
      </c>
      <c r="F181" s="64">
        <f t="shared" si="11"/>
        <v>530724.4</v>
      </c>
      <c r="G181" s="68">
        <f t="shared" si="14"/>
        <v>-833380.26</v>
      </c>
      <c r="H181" s="66">
        <f>C181/SUM($E$8:E181)*SUM($F$8:F181)</f>
        <v>32433.111606414317</v>
      </c>
      <c r="I181" s="66">
        <f>C181/SUM($E$8:E181)*SUM($G$8:G181)</f>
        <v>-180462.86160641434</v>
      </c>
    </row>
    <row r="182" spans="2:9">
      <c r="B182" s="67">
        <f t="shared" si="13"/>
        <v>42726</v>
      </c>
      <c r="C182" s="64">
        <f t="shared" si="10"/>
        <v>122312.03000000001</v>
      </c>
      <c r="D182" s="69">
        <v>771823.92</v>
      </c>
      <c r="E182" s="68">
        <f t="shared" si="12"/>
        <v>649511.89</v>
      </c>
      <c r="F182" s="64">
        <f t="shared" si="11"/>
        <v>494381.08</v>
      </c>
      <c r="G182" s="68">
        <f t="shared" si="14"/>
        <v>155130.81</v>
      </c>
      <c r="H182" s="66">
        <f>C182/SUM($E$8:E182)*SUM($F$8:F182)</f>
        <v>-25360.897155245973</v>
      </c>
      <c r="I182" s="66">
        <f>C182/SUM($E$8:E182)*SUM($G$8:G182)</f>
        <v>147672.92715524597</v>
      </c>
    </row>
    <row r="183" spans="2:9">
      <c r="B183" s="67">
        <f t="shared" si="13"/>
        <v>42727</v>
      </c>
      <c r="C183" s="64">
        <f t="shared" si="10"/>
        <v>-109617.92</v>
      </c>
      <c r="D183" s="69">
        <v>56214.62</v>
      </c>
      <c r="E183" s="68">
        <f t="shared" si="12"/>
        <v>165832.54</v>
      </c>
      <c r="F183" s="64">
        <f t="shared" si="11"/>
        <v>1674321.45</v>
      </c>
      <c r="G183" s="68">
        <f t="shared" si="14"/>
        <v>-1508488.91</v>
      </c>
      <c r="H183" s="66">
        <f>C183/SUM($E$8:E183)*SUM($F$8:F183)</f>
        <v>19281.893200983235</v>
      </c>
      <c r="I183" s="66">
        <f>C183/SUM($E$8:E183)*SUM($G$8:G183)</f>
        <v>-128899.81320098323</v>
      </c>
    </row>
    <row r="184" spans="2:9">
      <c r="B184" s="67">
        <f t="shared" si="13"/>
        <v>42728</v>
      </c>
      <c r="C184" s="64">
        <f t="shared" si="10"/>
        <v>0</v>
      </c>
      <c r="D184" s="69">
        <v>233420.52</v>
      </c>
      <c r="E184" s="68">
        <f t="shared" si="12"/>
        <v>233420.52</v>
      </c>
      <c r="F184" s="64">
        <f t="shared" si="11"/>
        <v>0</v>
      </c>
      <c r="G184" s="68">
        <f t="shared" si="14"/>
        <v>233420.52</v>
      </c>
      <c r="H184" s="66">
        <f>C184/SUM($E$8:E184)*SUM($F$8:F184)</f>
        <v>0</v>
      </c>
      <c r="I184" s="66">
        <f>C184/SUM($E$8:E184)*SUM($G$8:G184)</f>
        <v>0</v>
      </c>
    </row>
    <row r="185" spans="2:9">
      <c r="B185" s="67">
        <f t="shared" si="13"/>
        <v>42729</v>
      </c>
      <c r="C185" s="64">
        <f t="shared" si="10"/>
        <v>0</v>
      </c>
      <c r="D185" s="69">
        <v>233482.72</v>
      </c>
      <c r="E185" s="68">
        <f t="shared" si="12"/>
        <v>233482.72</v>
      </c>
      <c r="F185" s="64">
        <f t="shared" si="11"/>
        <v>0</v>
      </c>
      <c r="G185" s="68">
        <f t="shared" si="14"/>
        <v>233482.72</v>
      </c>
      <c r="H185" s="66">
        <f>C185/SUM($E$8:E185)*SUM($F$8:F185)</f>
        <v>0</v>
      </c>
      <c r="I185" s="66">
        <f>C185/SUM($E$8:E185)*SUM($G$8:G185)</f>
        <v>0</v>
      </c>
    </row>
    <row r="186" spans="2:9">
      <c r="B186" s="67">
        <f t="shared" si="13"/>
        <v>42730</v>
      </c>
      <c r="C186" s="64">
        <f t="shared" si="10"/>
        <v>919521.09</v>
      </c>
      <c r="D186" s="69">
        <v>431265.89</v>
      </c>
      <c r="E186" s="68">
        <f t="shared" si="12"/>
        <v>-488255.19999999995</v>
      </c>
      <c r="F186" s="64">
        <f t="shared" si="11"/>
        <v>224469.55</v>
      </c>
      <c r="G186" s="68">
        <f t="shared" si="14"/>
        <v>-712724.75</v>
      </c>
      <c r="H186" s="66">
        <f>C186/SUM($E$8:E186)*SUM($F$8:F186)</f>
        <v>-158008.27493334343</v>
      </c>
      <c r="I186" s="66">
        <f>C186/SUM($E$8:E186)*SUM($G$8:G186)</f>
        <v>1077529.3649333436</v>
      </c>
    </row>
    <row r="187" spans="2:9">
      <c r="B187" s="67">
        <f t="shared" si="13"/>
        <v>42731</v>
      </c>
      <c r="C187" s="64">
        <f t="shared" si="10"/>
        <v>-417502.29</v>
      </c>
      <c r="D187" s="69">
        <v>302634.87</v>
      </c>
      <c r="E187" s="68">
        <f t="shared" si="12"/>
        <v>720137.15999999992</v>
      </c>
      <c r="F187" s="64">
        <f t="shared" si="11"/>
        <v>85161.15</v>
      </c>
      <c r="G187" s="68">
        <f t="shared" si="14"/>
        <v>634976.00999999989</v>
      </c>
      <c r="H187" s="66">
        <f>C187/SUM($E$8:E187)*SUM($F$8:F187)</f>
        <v>70157.877798258181</v>
      </c>
      <c r="I187" s="66">
        <f>C187/SUM($E$8:E187)*SUM($G$8:G187)</f>
        <v>-487660.16779825825</v>
      </c>
    </row>
    <row r="188" spans="2:9">
      <c r="B188" s="67">
        <f t="shared" si="13"/>
        <v>42732</v>
      </c>
      <c r="C188" s="64">
        <f t="shared" si="10"/>
        <v>-1594312.66</v>
      </c>
      <c r="D188" s="69">
        <v>-123328.05</v>
      </c>
      <c r="E188" s="68">
        <f t="shared" si="12"/>
        <v>1470984.6099999999</v>
      </c>
      <c r="F188" s="64">
        <f t="shared" si="11"/>
        <v>4471452.9499999993</v>
      </c>
      <c r="G188" s="68">
        <f t="shared" si="14"/>
        <v>-3000468.3399999994</v>
      </c>
      <c r="H188" s="66">
        <f>C188/SUM($E$8:E188)*SUM($F$8:F188)</f>
        <v>134783.10711653478</v>
      </c>
      <c r="I188" s="66">
        <f>C188/SUM($E$8:E188)*SUM($G$8:G188)</f>
        <v>-1729095.767116535</v>
      </c>
    </row>
    <row r="189" spans="2:9">
      <c r="B189" s="67">
        <f t="shared" si="13"/>
        <v>42733</v>
      </c>
      <c r="C189" s="64">
        <f t="shared" si="10"/>
        <v>215930.91</v>
      </c>
      <c r="D189" s="69">
        <v>582885.49</v>
      </c>
      <c r="E189" s="68">
        <f t="shared" si="12"/>
        <v>366954.57999999996</v>
      </c>
      <c r="F189" s="64">
        <f t="shared" si="11"/>
        <v>0</v>
      </c>
      <c r="G189" s="68">
        <f t="shared" si="14"/>
        <v>366954.57999999996</v>
      </c>
      <c r="H189" s="66">
        <f>C189/SUM($E$8:E189)*SUM($F$8:F189)</f>
        <v>-18137.011319931236</v>
      </c>
      <c r="I189" s="66">
        <f>C189/SUM($E$8:E189)*SUM($G$8:G189)</f>
        <v>234067.92131993128</v>
      </c>
    </row>
    <row r="190" spans="2:9">
      <c r="B190" s="67">
        <f t="shared" si="13"/>
        <v>42734</v>
      </c>
      <c r="C190" s="64">
        <f t="shared" si="10"/>
        <v>19813342.310000002</v>
      </c>
      <c r="D190" s="69">
        <v>-213908.78</v>
      </c>
      <c r="E190" s="68">
        <f t="shared" si="12"/>
        <v>-20027251.090000004</v>
      </c>
      <c r="F190" s="64">
        <f t="shared" si="11"/>
        <v>0</v>
      </c>
      <c r="G190" s="68">
        <f t="shared" si="14"/>
        <v>-20027251.090000004</v>
      </c>
      <c r="H190" s="66">
        <f>C190/SUM($E$8:E190)*SUM($F$8:F190)</f>
        <v>-2568702.0933298701</v>
      </c>
      <c r="I190" s="66">
        <f>C190/SUM($E$8:E190)*SUM($G$8:G190)</f>
        <v>22382044.403329879</v>
      </c>
    </row>
    <row r="191" spans="2:9">
      <c r="B191" s="67">
        <f t="shared" si="13"/>
        <v>42735</v>
      </c>
      <c r="C191" s="64">
        <f t="shared" si="10"/>
        <v>0</v>
      </c>
      <c r="D191" s="69">
        <v>323996.84999999998</v>
      </c>
      <c r="E191" s="68">
        <f t="shared" si="12"/>
        <v>323996.84999999998</v>
      </c>
      <c r="F191" s="64">
        <f t="shared" si="11"/>
        <v>0</v>
      </c>
      <c r="G191" s="68">
        <f t="shared" si="14"/>
        <v>323996.84999999998</v>
      </c>
      <c r="H191" s="66">
        <f>C191/SUM($E$8:E191)*SUM($F$8:F191)</f>
        <v>0</v>
      </c>
      <c r="I191" s="66">
        <f>C191/SUM($E$8:E191)*SUM($G$8:G191)</f>
        <v>0</v>
      </c>
    </row>
    <row r="192" spans="2:9">
      <c r="B192" s="67">
        <f t="shared" si="13"/>
        <v>42736</v>
      </c>
      <c r="C192" s="64">
        <f t="shared" si="10"/>
        <v>0</v>
      </c>
      <c r="D192" s="69">
        <v>292603.32</v>
      </c>
      <c r="E192" s="68">
        <f t="shared" si="12"/>
        <v>292603.32</v>
      </c>
      <c r="F192" s="64">
        <f t="shared" si="11"/>
        <v>0</v>
      </c>
      <c r="G192" s="68">
        <f t="shared" si="14"/>
        <v>292603.32</v>
      </c>
      <c r="H192" s="66">
        <f>C192/SUM($E$8:E192)*SUM($F$8:F192)</f>
        <v>0</v>
      </c>
      <c r="I192" s="66">
        <f>C192/SUM($E$8:E192)*SUM($G$8:G192)</f>
        <v>0</v>
      </c>
    </row>
    <row r="193" spans="2:9">
      <c r="B193" s="67">
        <f t="shared" si="13"/>
        <v>42737</v>
      </c>
      <c r="C193" s="64">
        <f t="shared" si="10"/>
        <v>0</v>
      </c>
      <c r="D193" s="69">
        <v>465317.6</v>
      </c>
      <c r="E193" s="68">
        <f t="shared" si="12"/>
        <v>465317.6</v>
      </c>
      <c r="F193" s="64">
        <f t="shared" si="11"/>
        <v>0</v>
      </c>
      <c r="G193" s="68">
        <f t="shared" si="14"/>
        <v>465317.6</v>
      </c>
      <c r="H193" s="66">
        <f>C193/SUM($E$8:E193)*SUM($F$8:F193)</f>
        <v>0</v>
      </c>
      <c r="I193" s="66">
        <f>C193/SUM($E$8:E193)*SUM($G$8:G193)</f>
        <v>0</v>
      </c>
    </row>
    <row r="194" spans="2:9">
      <c r="B194" s="67">
        <f t="shared" si="13"/>
        <v>42738</v>
      </c>
      <c r="C194" s="64">
        <f t="shared" si="10"/>
        <v>-13428.73</v>
      </c>
      <c r="D194" s="69">
        <v>694770.41</v>
      </c>
      <c r="E194" s="68">
        <f t="shared" si="12"/>
        <v>708199.14</v>
      </c>
      <c r="F194" s="64">
        <f t="shared" si="11"/>
        <v>0</v>
      </c>
      <c r="G194" s="68">
        <f t="shared" si="14"/>
        <v>708199.14</v>
      </c>
      <c r="H194" s="66">
        <f>C194/SUM($E$8:E194)*SUM($F$8:F194)</f>
        <v>1660.3111152164311</v>
      </c>
      <c r="I194" s="66">
        <f>C194/SUM($E$8:E194)*SUM($G$8:G194)</f>
        <v>-15089.041115216436</v>
      </c>
    </row>
    <row r="195" spans="2:9">
      <c r="B195" s="67">
        <f t="shared" si="13"/>
        <v>42739</v>
      </c>
      <c r="C195" s="64">
        <f t="shared" si="10"/>
        <v>5071.21</v>
      </c>
      <c r="D195" s="69">
        <v>397813.91</v>
      </c>
      <c r="E195" s="68">
        <f t="shared" si="12"/>
        <v>392742.69999999995</v>
      </c>
      <c r="F195" s="64">
        <f t="shared" si="11"/>
        <v>0</v>
      </c>
      <c r="G195" s="68">
        <f t="shared" si="14"/>
        <v>392742.69999999995</v>
      </c>
      <c r="H195" s="66">
        <f>C195/SUM($E$8:E195)*SUM($F$8:F195)</f>
        <v>-620.68904788733403</v>
      </c>
      <c r="I195" s="66">
        <f>C195/SUM($E$8:E195)*SUM($G$8:G195)</f>
        <v>5691.8990478873357</v>
      </c>
    </row>
    <row r="196" spans="2:9">
      <c r="B196" s="67">
        <f t="shared" si="13"/>
        <v>42740</v>
      </c>
      <c r="C196" s="64">
        <f t="shared" si="10"/>
        <v>-210562.61</v>
      </c>
      <c r="D196" s="69">
        <v>473568.4</v>
      </c>
      <c r="E196" s="68">
        <f t="shared" si="12"/>
        <v>684131.01</v>
      </c>
      <c r="F196" s="64">
        <f t="shared" si="11"/>
        <v>0</v>
      </c>
      <c r="G196" s="68">
        <f t="shared" si="14"/>
        <v>684131.01</v>
      </c>
      <c r="H196" s="66">
        <f>C196/SUM($E$8:E196)*SUM($F$8:F196)</f>
        <v>25327.807322312987</v>
      </c>
      <c r="I196" s="66">
        <f>C196/SUM($E$8:E196)*SUM($G$8:G196)</f>
        <v>-235890.41732231303</v>
      </c>
    </row>
    <row r="197" spans="2:9">
      <c r="B197" s="67">
        <f t="shared" si="13"/>
        <v>42741</v>
      </c>
      <c r="C197" s="64">
        <f t="shared" si="10"/>
        <v>1329311.71</v>
      </c>
      <c r="D197" s="69">
        <v>427164.74</v>
      </c>
      <c r="E197" s="68">
        <f t="shared" si="12"/>
        <v>-902146.97</v>
      </c>
      <c r="F197" s="64">
        <f t="shared" si="11"/>
        <v>0</v>
      </c>
      <c r="G197" s="68">
        <f t="shared" si="14"/>
        <v>-902146.97</v>
      </c>
      <c r="H197" s="66">
        <f>C197/SUM($E$8:E197)*SUM($F$8:F197)</f>
        <v>-163614.54389966905</v>
      </c>
      <c r="I197" s="66">
        <f>C197/SUM($E$8:E197)*SUM($G$8:G197)</f>
        <v>1492926.2538996693</v>
      </c>
    </row>
    <row r="198" spans="2:9">
      <c r="B198" s="67">
        <f t="shared" si="13"/>
        <v>42742</v>
      </c>
      <c r="C198" s="64">
        <f t="shared" si="10"/>
        <v>0</v>
      </c>
      <c r="D198" s="69">
        <v>368478.94</v>
      </c>
      <c r="E198" s="68">
        <f t="shared" si="12"/>
        <v>368478.94</v>
      </c>
      <c r="F198" s="64">
        <f t="shared" si="11"/>
        <v>0</v>
      </c>
      <c r="G198" s="68">
        <f t="shared" si="14"/>
        <v>368478.94</v>
      </c>
      <c r="H198" s="66">
        <f>C198/SUM($E$8:E198)*SUM($F$8:F198)</f>
        <v>0</v>
      </c>
      <c r="I198" s="66">
        <f>C198/SUM($E$8:E198)*SUM($G$8:G198)</f>
        <v>0</v>
      </c>
    </row>
    <row r="199" spans="2:9">
      <c r="B199" s="67">
        <f t="shared" si="13"/>
        <v>42743</v>
      </c>
      <c r="C199" s="64">
        <f t="shared" si="10"/>
        <v>0</v>
      </c>
      <c r="D199" s="69">
        <v>368458.98</v>
      </c>
      <c r="E199" s="68">
        <f t="shared" si="12"/>
        <v>368458.98</v>
      </c>
      <c r="F199" s="64">
        <f t="shared" si="11"/>
        <v>0</v>
      </c>
      <c r="G199" s="68">
        <f t="shared" si="14"/>
        <v>368458.98</v>
      </c>
      <c r="H199" s="66">
        <f>C199/SUM($E$8:E199)*SUM($F$8:F199)</f>
        <v>0</v>
      </c>
      <c r="I199" s="66">
        <f>C199/SUM($E$8:E199)*SUM($G$8:G199)</f>
        <v>0</v>
      </c>
    </row>
    <row r="200" spans="2:9">
      <c r="B200" s="67">
        <f t="shared" si="13"/>
        <v>42744</v>
      </c>
      <c r="C200" s="64">
        <f t="shared" ref="C200:C263" si="15">SUMIF($D$377:$D$1380,B200,$E$377:$E$1380)</f>
        <v>348591.01000000007</v>
      </c>
      <c r="D200" s="69">
        <v>493873.18</v>
      </c>
      <c r="E200" s="68">
        <f t="shared" si="12"/>
        <v>145282.16999999993</v>
      </c>
      <c r="F200" s="64">
        <f t="shared" ref="F200:F263" si="16">SUMIF($B$376:$B$747,B200,$C$376:$C$747)</f>
        <v>107379</v>
      </c>
      <c r="G200" s="68">
        <f t="shared" si="14"/>
        <v>37903.169999999925</v>
      </c>
      <c r="H200" s="66">
        <f>C200/SUM($E$8:E200)*SUM($F$8:F200)</f>
        <v>-41008.840278990589</v>
      </c>
      <c r="I200" s="66">
        <f>C200/SUM($E$8:E200)*SUM($G$8:G200)</f>
        <v>389599.85027899075</v>
      </c>
    </row>
    <row r="201" spans="2:9">
      <c r="B201" s="67">
        <f t="shared" si="13"/>
        <v>42745</v>
      </c>
      <c r="C201" s="64">
        <f t="shared" si="15"/>
        <v>456066.88000000012</v>
      </c>
      <c r="D201" s="69">
        <v>106231.85</v>
      </c>
      <c r="E201" s="68">
        <f t="shared" ref="E201:E264" si="17">+D201-C201</f>
        <v>-349835.03000000014</v>
      </c>
      <c r="F201" s="64">
        <f t="shared" si="16"/>
        <v>303048</v>
      </c>
      <c r="G201" s="68">
        <f t="shared" si="14"/>
        <v>-652883.03000000014</v>
      </c>
      <c r="H201" s="66">
        <f>C201/SUM($E$8:E201)*SUM($F$8:F201)</f>
        <v>-50616.856710769876</v>
      </c>
      <c r="I201" s="66">
        <f>C201/SUM($E$8:E201)*SUM($G$8:G201)</f>
        <v>506683.73671077011</v>
      </c>
    </row>
    <row r="202" spans="2:9">
      <c r="B202" s="67">
        <f t="shared" ref="B202:B265" si="18">+B201+1</f>
        <v>42746</v>
      </c>
      <c r="C202" s="64">
        <f t="shared" si="15"/>
        <v>63968.939999999995</v>
      </c>
      <c r="D202" s="69">
        <v>566593.43000000005</v>
      </c>
      <c r="E202" s="68">
        <f t="shared" si="17"/>
        <v>502624.49000000005</v>
      </c>
      <c r="F202" s="64">
        <f t="shared" si="16"/>
        <v>0</v>
      </c>
      <c r="G202" s="68">
        <f t="shared" ref="G202:G265" si="19">E202-F202</f>
        <v>502624.49000000005</v>
      </c>
      <c r="H202" s="66">
        <f>C202/SUM($E$8:E202)*SUM($F$8:F202)</f>
        <v>-7010.0817420532994</v>
      </c>
      <c r="I202" s="66">
        <f>C202/SUM($E$8:E202)*SUM($G$8:G202)</f>
        <v>70979.021742053315</v>
      </c>
    </row>
    <row r="203" spans="2:9">
      <c r="B203" s="67">
        <f t="shared" si="18"/>
        <v>42747</v>
      </c>
      <c r="C203" s="64">
        <f t="shared" si="15"/>
        <v>-422361.2</v>
      </c>
      <c r="D203" s="69">
        <v>15234685.57</v>
      </c>
      <c r="E203" s="68">
        <f t="shared" si="17"/>
        <v>15657046.77</v>
      </c>
      <c r="F203" s="64">
        <f t="shared" si="16"/>
        <v>0</v>
      </c>
      <c r="G203" s="68">
        <f t="shared" si="19"/>
        <v>15657046.77</v>
      </c>
      <c r="H203" s="66">
        <f>C203/SUM($E$8:E203)*SUM($F$8:F203)</f>
        <v>33228.806792164556</v>
      </c>
      <c r="I203" s="66">
        <f>C203/SUM($E$8:E203)*SUM($G$8:G203)</f>
        <v>-455590.00679216458</v>
      </c>
    </row>
    <row r="204" spans="2:9">
      <c r="B204" s="67">
        <f t="shared" si="18"/>
        <v>42748</v>
      </c>
      <c r="C204" s="64">
        <f t="shared" si="15"/>
        <v>0</v>
      </c>
      <c r="D204" s="69">
        <v>73244.92</v>
      </c>
      <c r="E204" s="68">
        <f t="shared" si="17"/>
        <v>73244.92</v>
      </c>
      <c r="F204" s="64">
        <f t="shared" si="16"/>
        <v>0</v>
      </c>
      <c r="G204" s="68">
        <f t="shared" si="19"/>
        <v>73244.92</v>
      </c>
      <c r="H204" s="66">
        <f>C204/SUM($E$8:E204)*SUM($F$8:F204)</f>
        <v>0</v>
      </c>
      <c r="I204" s="66">
        <f>C204/SUM($E$8:E204)*SUM($G$8:G204)</f>
        <v>0</v>
      </c>
    </row>
    <row r="205" spans="2:9">
      <c r="B205" s="67">
        <f t="shared" si="18"/>
        <v>42749</v>
      </c>
      <c r="C205" s="64">
        <f t="shared" si="15"/>
        <v>0</v>
      </c>
      <c r="D205" s="69">
        <v>365133.42</v>
      </c>
      <c r="E205" s="68">
        <f t="shared" si="17"/>
        <v>365133.42</v>
      </c>
      <c r="F205" s="64">
        <f t="shared" si="16"/>
        <v>0</v>
      </c>
      <c r="G205" s="68">
        <f t="shared" si="19"/>
        <v>365133.42</v>
      </c>
      <c r="H205" s="66">
        <f>C205/SUM($E$8:E205)*SUM($F$8:F205)</f>
        <v>0</v>
      </c>
      <c r="I205" s="66">
        <f>C205/SUM($E$8:E205)*SUM($G$8:G205)</f>
        <v>0</v>
      </c>
    </row>
    <row r="206" spans="2:9">
      <c r="B206" s="67">
        <f t="shared" si="18"/>
        <v>42750</v>
      </c>
      <c r="C206" s="64">
        <f t="shared" si="15"/>
        <v>0</v>
      </c>
      <c r="D206" s="69">
        <v>365115.85</v>
      </c>
      <c r="E206" s="68">
        <f t="shared" si="17"/>
        <v>365115.85</v>
      </c>
      <c r="F206" s="64">
        <f t="shared" si="16"/>
        <v>0</v>
      </c>
      <c r="G206" s="68">
        <f t="shared" si="19"/>
        <v>365115.85</v>
      </c>
      <c r="H206" s="66">
        <f>C206/SUM($E$8:E206)*SUM($F$8:F206)</f>
        <v>0</v>
      </c>
      <c r="I206" s="66">
        <f>C206/SUM($E$8:E206)*SUM($G$8:G206)</f>
        <v>0</v>
      </c>
    </row>
    <row r="207" spans="2:9">
      <c r="B207" s="67">
        <f t="shared" si="18"/>
        <v>42751</v>
      </c>
      <c r="C207" s="64">
        <f t="shared" si="15"/>
        <v>-10122.34</v>
      </c>
      <c r="D207" s="69">
        <v>547142.30000000005</v>
      </c>
      <c r="E207" s="68">
        <f t="shared" si="17"/>
        <v>557264.64000000001</v>
      </c>
      <c r="F207" s="64">
        <f t="shared" si="16"/>
        <v>0</v>
      </c>
      <c r="G207" s="68">
        <f t="shared" si="19"/>
        <v>557264.64000000001</v>
      </c>
      <c r="H207" s="66">
        <f>C207/SUM($E$8:E207)*SUM($F$8:F207)</f>
        <v>777.3079265934806</v>
      </c>
      <c r="I207" s="66">
        <f>C207/SUM($E$8:E207)*SUM($G$8:G207)</f>
        <v>-10899.647926593481</v>
      </c>
    </row>
    <row r="208" spans="2:9">
      <c r="B208" s="67">
        <f t="shared" si="18"/>
        <v>42752</v>
      </c>
      <c r="C208" s="64">
        <f t="shared" si="15"/>
        <v>1017009.6499999999</v>
      </c>
      <c r="D208" s="69">
        <v>340250.31</v>
      </c>
      <c r="E208" s="68">
        <f t="shared" si="17"/>
        <v>-676759.33999999985</v>
      </c>
      <c r="F208" s="64">
        <f t="shared" si="16"/>
        <v>0</v>
      </c>
      <c r="G208" s="68">
        <f t="shared" si="19"/>
        <v>-676759.33999999985</v>
      </c>
      <c r="H208" s="66">
        <f>C208/SUM($E$8:E208)*SUM($F$8:F208)</f>
        <v>-79038.138412627392</v>
      </c>
      <c r="I208" s="66">
        <f>C208/SUM($E$8:E208)*SUM($G$8:G208)</f>
        <v>1096047.7884126275</v>
      </c>
    </row>
    <row r="209" spans="2:9">
      <c r="B209" s="67">
        <f t="shared" si="18"/>
        <v>42753</v>
      </c>
      <c r="C209" s="64">
        <f t="shared" si="15"/>
        <v>551409.41</v>
      </c>
      <c r="D209" s="69">
        <v>267221.87</v>
      </c>
      <c r="E209" s="68">
        <f t="shared" si="17"/>
        <v>-284187.54000000004</v>
      </c>
      <c r="F209" s="64">
        <f t="shared" si="16"/>
        <v>0</v>
      </c>
      <c r="G209" s="68">
        <f t="shared" si="19"/>
        <v>-284187.54000000004</v>
      </c>
      <c r="H209" s="66">
        <f>C209/SUM($E$8:E209)*SUM($F$8:F209)</f>
        <v>-43071.289414909123</v>
      </c>
      <c r="I209" s="66">
        <f>C209/SUM($E$8:E209)*SUM($G$8:G209)</f>
        <v>594480.69941490912</v>
      </c>
    </row>
    <row r="210" spans="2:9">
      <c r="B210" s="67">
        <f t="shared" si="18"/>
        <v>42754</v>
      </c>
      <c r="C210" s="64">
        <f t="shared" si="15"/>
        <v>188573.4</v>
      </c>
      <c r="D210" s="69">
        <v>750382.3</v>
      </c>
      <c r="E210" s="68">
        <f t="shared" si="17"/>
        <v>561808.9</v>
      </c>
      <c r="F210" s="64">
        <f t="shared" si="16"/>
        <v>0</v>
      </c>
      <c r="G210" s="68">
        <f t="shared" si="19"/>
        <v>561808.9</v>
      </c>
      <c r="H210" s="66">
        <f>C210/SUM($E$8:E210)*SUM($F$8:F210)</f>
        <v>-14583.158511494094</v>
      </c>
      <c r="I210" s="66">
        <f>C210/SUM($E$8:E210)*SUM($G$8:G210)</f>
        <v>203156.55851149411</v>
      </c>
    </row>
    <row r="211" spans="2:9">
      <c r="B211" s="67">
        <f t="shared" si="18"/>
        <v>42755</v>
      </c>
      <c r="C211" s="64">
        <f t="shared" si="15"/>
        <v>-336110.76</v>
      </c>
      <c r="D211" s="69">
        <v>538217.98</v>
      </c>
      <c r="E211" s="68">
        <f t="shared" si="17"/>
        <v>874328.74</v>
      </c>
      <c r="F211" s="64">
        <f t="shared" si="16"/>
        <v>0</v>
      </c>
      <c r="G211" s="68">
        <f t="shared" si="19"/>
        <v>874328.74</v>
      </c>
      <c r="H211" s="66">
        <f>C211/SUM($E$8:E211)*SUM($F$8:F211)</f>
        <v>25596.501420665147</v>
      </c>
      <c r="I211" s="66">
        <f>C211/SUM($E$8:E211)*SUM($G$8:G211)</f>
        <v>-361707.26142066513</v>
      </c>
    </row>
    <row r="212" spans="2:9">
      <c r="B212" s="67">
        <f t="shared" si="18"/>
        <v>42756</v>
      </c>
      <c r="C212" s="64">
        <f t="shared" si="15"/>
        <v>0</v>
      </c>
      <c r="D212" s="69">
        <v>376142.25</v>
      </c>
      <c r="E212" s="68">
        <f t="shared" si="17"/>
        <v>376142.25</v>
      </c>
      <c r="F212" s="64">
        <f t="shared" si="16"/>
        <v>0</v>
      </c>
      <c r="G212" s="68">
        <f t="shared" si="19"/>
        <v>376142.25</v>
      </c>
      <c r="H212" s="66">
        <f>C212/SUM($E$8:E212)*SUM($F$8:F212)</f>
        <v>0</v>
      </c>
      <c r="I212" s="66">
        <f>C212/SUM($E$8:E212)*SUM($G$8:G212)</f>
        <v>0</v>
      </c>
    </row>
    <row r="213" spans="2:9">
      <c r="B213" s="67">
        <f t="shared" si="18"/>
        <v>42757</v>
      </c>
      <c r="C213" s="64">
        <f t="shared" si="15"/>
        <v>0</v>
      </c>
      <c r="D213" s="69">
        <v>376122.68</v>
      </c>
      <c r="E213" s="68">
        <f t="shared" si="17"/>
        <v>376122.68</v>
      </c>
      <c r="F213" s="64">
        <f t="shared" si="16"/>
        <v>0</v>
      </c>
      <c r="G213" s="68">
        <f t="shared" si="19"/>
        <v>376122.68</v>
      </c>
      <c r="H213" s="66">
        <f>C213/SUM($E$8:E213)*SUM($F$8:F213)</f>
        <v>0</v>
      </c>
      <c r="I213" s="66">
        <f>C213/SUM($E$8:E213)*SUM($G$8:G213)</f>
        <v>0</v>
      </c>
    </row>
    <row r="214" spans="2:9">
      <c r="B214" s="67">
        <f t="shared" si="18"/>
        <v>42758</v>
      </c>
      <c r="C214" s="64">
        <f t="shared" si="15"/>
        <v>-446843.43999999994</v>
      </c>
      <c r="D214" s="69">
        <v>372565.25</v>
      </c>
      <c r="E214" s="68">
        <f t="shared" si="17"/>
        <v>819408.69</v>
      </c>
      <c r="F214" s="64">
        <f t="shared" si="16"/>
        <v>0</v>
      </c>
      <c r="G214" s="68">
        <f t="shared" si="19"/>
        <v>819408.69</v>
      </c>
      <c r="H214" s="66">
        <f>C214/SUM($E$8:E214)*SUM($F$8:F214)</f>
        <v>33121.522329460182</v>
      </c>
      <c r="I214" s="66">
        <f>C214/SUM($E$8:E214)*SUM($G$8:G214)</f>
        <v>-479964.96232946013</v>
      </c>
    </row>
    <row r="215" spans="2:9">
      <c r="B215" s="67">
        <f t="shared" si="18"/>
        <v>42759</v>
      </c>
      <c r="C215" s="64">
        <f t="shared" si="15"/>
        <v>-6200749.6700000009</v>
      </c>
      <c r="D215" s="69">
        <v>492842.53</v>
      </c>
      <c r="E215" s="68">
        <f t="shared" si="17"/>
        <v>6693592.2000000011</v>
      </c>
      <c r="F215" s="64">
        <f t="shared" si="16"/>
        <v>0</v>
      </c>
      <c r="G215" s="68">
        <f t="shared" si="19"/>
        <v>6693592.2000000011</v>
      </c>
      <c r="H215" s="66">
        <f>C215/SUM($E$8:E215)*SUM($F$8:F215)</f>
        <v>412727.28894573584</v>
      </c>
      <c r="I215" s="66">
        <f>C215/SUM($E$8:E215)*SUM($G$8:G215)</f>
        <v>-6613476.9589457372</v>
      </c>
    </row>
    <row r="216" spans="2:9">
      <c r="B216" s="67">
        <f t="shared" si="18"/>
        <v>42760</v>
      </c>
      <c r="C216" s="64">
        <f t="shared" si="15"/>
        <v>0</v>
      </c>
      <c r="D216" s="69">
        <v>176107.79</v>
      </c>
      <c r="E216" s="68">
        <f t="shared" si="17"/>
        <v>176107.79</v>
      </c>
      <c r="F216" s="64">
        <f t="shared" si="16"/>
        <v>2908159.33</v>
      </c>
      <c r="G216" s="68">
        <f t="shared" si="19"/>
        <v>-2732051.54</v>
      </c>
      <c r="H216" s="66">
        <f>C216/SUM($E$8:E216)*SUM($F$8:F216)</f>
        <v>0</v>
      </c>
      <c r="I216" s="66">
        <f>C216/SUM($E$8:E216)*SUM($G$8:G216)</f>
        <v>0</v>
      </c>
    </row>
    <row r="217" spans="2:9">
      <c r="B217" s="67">
        <f t="shared" si="18"/>
        <v>42761</v>
      </c>
      <c r="C217" s="64">
        <f t="shared" si="15"/>
        <v>-912295.28</v>
      </c>
      <c r="D217" s="69">
        <v>770750.68</v>
      </c>
      <c r="E217" s="68">
        <f t="shared" si="17"/>
        <v>1683045.96</v>
      </c>
      <c r="F217" s="64">
        <f t="shared" si="16"/>
        <v>5350330.7700000014</v>
      </c>
      <c r="G217" s="68">
        <f t="shared" si="19"/>
        <v>-3667284.8100000015</v>
      </c>
      <c r="H217" s="66">
        <f>C217/SUM($E$8:E217)*SUM($F$8:F217)</f>
        <v>-52623.409604476255</v>
      </c>
      <c r="I217" s="66">
        <f>C217/SUM($E$8:E217)*SUM($G$8:G217)</f>
        <v>-859671.87039552373</v>
      </c>
    </row>
    <row r="218" spans="2:9">
      <c r="B218" s="67">
        <f t="shared" si="18"/>
        <v>42762</v>
      </c>
      <c r="C218" s="64">
        <f t="shared" si="15"/>
        <v>-12905556.199999999</v>
      </c>
      <c r="D218" s="69">
        <v>-423107.08</v>
      </c>
      <c r="E218" s="68">
        <f t="shared" si="17"/>
        <v>12482449.119999999</v>
      </c>
      <c r="F218" s="64">
        <f t="shared" si="16"/>
        <v>346075.25</v>
      </c>
      <c r="G218" s="68">
        <f t="shared" si="19"/>
        <v>12136373.869999999</v>
      </c>
      <c r="H218" s="66">
        <f>C218/SUM($E$8:E218)*SUM($F$8:F218)</f>
        <v>-684060.95115273225</v>
      </c>
      <c r="I218" s="66">
        <f>C218/SUM($E$8:E218)*SUM($G$8:G218)</f>
        <v>-12221495.248847265</v>
      </c>
    </row>
    <row r="219" spans="2:9">
      <c r="B219" s="67">
        <f t="shared" si="18"/>
        <v>42763</v>
      </c>
      <c r="C219" s="64">
        <f t="shared" si="15"/>
        <v>0</v>
      </c>
      <c r="D219" s="69">
        <v>263527.71999999997</v>
      </c>
      <c r="E219" s="68">
        <f t="shared" si="17"/>
        <v>263527.71999999997</v>
      </c>
      <c r="F219" s="64">
        <f t="shared" si="16"/>
        <v>0</v>
      </c>
      <c r="G219" s="68">
        <f t="shared" si="19"/>
        <v>263527.71999999997</v>
      </c>
      <c r="H219" s="66">
        <f>C219/SUM($E$8:E219)*SUM($F$8:F219)</f>
        <v>0</v>
      </c>
      <c r="I219" s="66">
        <f>C219/SUM($E$8:E219)*SUM($G$8:G219)</f>
        <v>0</v>
      </c>
    </row>
    <row r="220" spans="2:9">
      <c r="B220" s="67">
        <f t="shared" si="18"/>
        <v>42764</v>
      </c>
      <c r="C220" s="64">
        <f t="shared" si="15"/>
        <v>0</v>
      </c>
      <c r="D220" s="69">
        <v>264140.08</v>
      </c>
      <c r="E220" s="68">
        <f t="shared" si="17"/>
        <v>264140.08</v>
      </c>
      <c r="F220" s="64">
        <f t="shared" si="16"/>
        <v>0</v>
      </c>
      <c r="G220" s="68">
        <f t="shared" si="19"/>
        <v>264140.08</v>
      </c>
      <c r="H220" s="66">
        <f>C220/SUM($E$8:E220)*SUM($F$8:F220)</f>
        <v>0</v>
      </c>
      <c r="I220" s="66">
        <f>C220/SUM($E$8:E220)*SUM($G$8:G220)</f>
        <v>0</v>
      </c>
    </row>
    <row r="221" spans="2:9">
      <c r="B221" s="67">
        <f t="shared" si="18"/>
        <v>42765</v>
      </c>
      <c r="C221" s="64">
        <f t="shared" si="15"/>
        <v>0</v>
      </c>
      <c r="D221" s="69">
        <v>773576.84</v>
      </c>
      <c r="E221" s="68">
        <f t="shared" si="17"/>
        <v>773576.84</v>
      </c>
      <c r="F221" s="64">
        <f t="shared" si="16"/>
        <v>154048.70000000001</v>
      </c>
      <c r="G221" s="68">
        <f t="shared" si="19"/>
        <v>619528.1399999999</v>
      </c>
      <c r="H221" s="66">
        <f>C221/SUM($E$8:E221)*SUM($F$8:F221)</f>
        <v>0</v>
      </c>
      <c r="I221" s="66">
        <f>C221/SUM($E$8:E221)*SUM($G$8:G221)</f>
        <v>0</v>
      </c>
    </row>
    <row r="222" spans="2:9">
      <c r="B222" s="67">
        <f t="shared" si="18"/>
        <v>42766</v>
      </c>
      <c r="C222" s="64">
        <f t="shared" si="15"/>
        <v>-12744139.959999999</v>
      </c>
      <c r="D222" s="69">
        <v>853336.88</v>
      </c>
      <c r="E222" s="68">
        <f t="shared" si="17"/>
        <v>13597476.84</v>
      </c>
      <c r="F222" s="64">
        <f t="shared" si="16"/>
        <v>150603.52000000002</v>
      </c>
      <c r="G222" s="68">
        <f t="shared" si="19"/>
        <v>13446873.32</v>
      </c>
      <c r="H222" s="66">
        <f>C222/SUM($E$8:E222)*SUM($F$8:F222)</f>
        <v>-610330.62127610063</v>
      </c>
      <c r="I222" s="66">
        <f>C222/SUM($E$8:E222)*SUM($G$8:G222)</f>
        <v>-12133809.3387239</v>
      </c>
    </row>
    <row r="223" spans="2:9">
      <c r="B223" s="67">
        <f t="shared" si="18"/>
        <v>42767</v>
      </c>
      <c r="C223" s="64">
        <f t="shared" si="15"/>
        <v>0</v>
      </c>
      <c r="D223" s="69">
        <v>752035.08</v>
      </c>
      <c r="E223" s="68">
        <f t="shared" si="17"/>
        <v>752035.08</v>
      </c>
      <c r="F223" s="64">
        <f t="shared" si="16"/>
        <v>246384.7</v>
      </c>
      <c r="G223" s="68">
        <f t="shared" si="19"/>
        <v>505650.37999999995</v>
      </c>
      <c r="H223" s="66">
        <f>C223/SUM($E$8:E223)*SUM($F$8:F223)</f>
        <v>0</v>
      </c>
      <c r="I223" s="66">
        <f>C223/SUM($E$8:E223)*SUM($G$8:G223)</f>
        <v>0</v>
      </c>
    </row>
    <row r="224" spans="2:9">
      <c r="B224" s="67">
        <f t="shared" si="18"/>
        <v>42768</v>
      </c>
      <c r="C224" s="64">
        <f t="shared" si="15"/>
        <v>-137913.10999999999</v>
      </c>
      <c r="D224" s="69">
        <v>235433.09</v>
      </c>
      <c r="E224" s="68">
        <f t="shared" si="17"/>
        <v>373346.19999999995</v>
      </c>
      <c r="F224" s="64">
        <f t="shared" si="16"/>
        <v>526222.64</v>
      </c>
      <c r="G224" s="68">
        <f t="shared" si="19"/>
        <v>-152876.44000000006</v>
      </c>
      <c r="H224" s="66">
        <f>C224/SUM($E$8:E224)*SUM($F$8:F224)</f>
        <v>-7637.5971285045371</v>
      </c>
      <c r="I224" s="66">
        <f>C224/SUM($E$8:E224)*SUM($G$8:G224)</f>
        <v>-130275.51287149545</v>
      </c>
    </row>
    <row r="225" spans="2:9">
      <c r="B225" s="67">
        <f t="shared" si="18"/>
        <v>42769</v>
      </c>
      <c r="C225" s="64">
        <f t="shared" si="15"/>
        <v>-411499.75</v>
      </c>
      <c r="D225" s="69">
        <v>334087.13</v>
      </c>
      <c r="E225" s="68">
        <f t="shared" si="17"/>
        <v>745586.88</v>
      </c>
      <c r="F225" s="64">
        <f t="shared" si="16"/>
        <v>0</v>
      </c>
      <c r="G225" s="68">
        <f t="shared" si="19"/>
        <v>745586.88</v>
      </c>
      <c r="H225" s="66">
        <f>C225/SUM($E$8:E225)*SUM($F$8:F225)</f>
        <v>-22613.089050620692</v>
      </c>
      <c r="I225" s="66">
        <f>C225/SUM($E$8:E225)*SUM($G$8:G225)</f>
        <v>-388886.66094937926</v>
      </c>
    </row>
    <row r="226" spans="2:9">
      <c r="B226" s="67">
        <f t="shared" si="18"/>
        <v>42770</v>
      </c>
      <c r="C226" s="64">
        <f t="shared" si="15"/>
        <v>0</v>
      </c>
      <c r="D226" s="69">
        <v>-46564.05</v>
      </c>
      <c r="E226" s="68">
        <f t="shared" si="17"/>
        <v>-46564.05</v>
      </c>
      <c r="F226" s="64">
        <f t="shared" si="16"/>
        <v>0</v>
      </c>
      <c r="G226" s="68">
        <f t="shared" si="19"/>
        <v>-46564.05</v>
      </c>
      <c r="H226" s="66">
        <f>C226/SUM($E$8:E226)*SUM($F$8:F226)</f>
        <v>0</v>
      </c>
      <c r="I226" s="66">
        <f>C226/SUM($E$8:E226)*SUM($G$8:G226)</f>
        <v>0</v>
      </c>
    </row>
    <row r="227" spans="2:9">
      <c r="B227" s="67">
        <f t="shared" si="18"/>
        <v>42771</v>
      </c>
      <c r="C227" s="64">
        <f t="shared" si="15"/>
        <v>0</v>
      </c>
      <c r="D227" s="69">
        <v>213462.53</v>
      </c>
      <c r="E227" s="68">
        <f t="shared" si="17"/>
        <v>213462.53</v>
      </c>
      <c r="F227" s="64">
        <f t="shared" si="16"/>
        <v>0</v>
      </c>
      <c r="G227" s="68">
        <f t="shared" si="19"/>
        <v>213462.53</v>
      </c>
      <c r="H227" s="66">
        <f>C227/SUM($E$8:E227)*SUM($F$8:F227)</f>
        <v>0</v>
      </c>
      <c r="I227" s="66">
        <f>C227/SUM($E$8:E227)*SUM($G$8:G227)</f>
        <v>0</v>
      </c>
    </row>
    <row r="228" spans="2:9">
      <c r="B228" s="67">
        <f t="shared" si="18"/>
        <v>42772</v>
      </c>
      <c r="C228" s="64">
        <f t="shared" si="15"/>
        <v>-3154553.709999999</v>
      </c>
      <c r="D228" s="69">
        <v>460275.88</v>
      </c>
      <c r="E228" s="68">
        <f t="shared" si="17"/>
        <v>3614829.5899999989</v>
      </c>
      <c r="F228" s="64">
        <f t="shared" si="16"/>
        <v>1046351.49</v>
      </c>
      <c r="G228" s="68">
        <f t="shared" si="19"/>
        <v>2568478.0999999987</v>
      </c>
      <c r="H228" s="66">
        <f>C228/SUM($E$8:E228)*SUM($F$8:F228)</f>
        <v>-199672.13467121223</v>
      </c>
      <c r="I228" s="66">
        <f>C228/SUM($E$8:E228)*SUM($G$8:G228)</f>
        <v>-2954881.5753287864</v>
      </c>
    </row>
    <row r="229" spans="2:9">
      <c r="B229" s="67">
        <f t="shared" si="18"/>
        <v>42773</v>
      </c>
      <c r="C229" s="64">
        <f t="shared" si="15"/>
        <v>0</v>
      </c>
      <c r="D229" s="69">
        <v>507876.8</v>
      </c>
      <c r="E229" s="68">
        <f t="shared" si="17"/>
        <v>507876.8</v>
      </c>
      <c r="F229" s="64">
        <f t="shared" si="16"/>
        <v>0</v>
      </c>
      <c r="G229" s="68">
        <f t="shared" si="19"/>
        <v>507876.8</v>
      </c>
      <c r="H229" s="66">
        <f>C229/SUM($E$8:E229)*SUM($F$8:F229)</f>
        <v>0</v>
      </c>
      <c r="I229" s="66">
        <f>C229/SUM($E$8:E229)*SUM($G$8:G229)</f>
        <v>0</v>
      </c>
    </row>
    <row r="230" spans="2:9">
      <c r="B230" s="67">
        <f t="shared" si="18"/>
        <v>42774</v>
      </c>
      <c r="C230" s="64">
        <f t="shared" si="15"/>
        <v>-33069.740000000005</v>
      </c>
      <c r="D230" s="69">
        <v>285959.15999999997</v>
      </c>
      <c r="E230" s="68">
        <f t="shared" si="17"/>
        <v>319028.89999999997</v>
      </c>
      <c r="F230" s="64">
        <f t="shared" si="16"/>
        <v>0</v>
      </c>
      <c r="G230" s="68">
        <f t="shared" si="19"/>
        <v>319028.89999999997</v>
      </c>
      <c r="H230" s="66">
        <f>C230/SUM($E$8:E230)*SUM($F$8:F230)</f>
        <v>-2076.1159392247732</v>
      </c>
      <c r="I230" s="66">
        <f>C230/SUM($E$8:E230)*SUM($G$8:G230)</f>
        <v>-30993.624060775226</v>
      </c>
    </row>
    <row r="231" spans="2:9">
      <c r="B231" s="67">
        <f t="shared" si="18"/>
        <v>42775</v>
      </c>
      <c r="C231" s="64">
        <f t="shared" si="15"/>
        <v>39540.799999999988</v>
      </c>
      <c r="D231" s="69">
        <v>414853.57</v>
      </c>
      <c r="E231" s="68">
        <f t="shared" si="17"/>
        <v>375312.77</v>
      </c>
      <c r="F231" s="64">
        <f t="shared" si="16"/>
        <v>651928.90999999992</v>
      </c>
      <c r="G231" s="68">
        <f t="shared" si="19"/>
        <v>-276616.1399999999</v>
      </c>
      <c r="H231" s="66">
        <f>C231/SUM($E$8:E231)*SUM($F$8:F231)</f>
        <v>2726.6708988322521</v>
      </c>
      <c r="I231" s="66">
        <f>C231/SUM($E$8:E231)*SUM($G$8:G231)</f>
        <v>36814.129101167731</v>
      </c>
    </row>
    <row r="232" spans="2:9">
      <c r="B232" s="67">
        <f t="shared" si="18"/>
        <v>42776</v>
      </c>
      <c r="C232" s="64">
        <f t="shared" si="15"/>
        <v>-257496.63</v>
      </c>
      <c r="D232" s="69">
        <v>-48046.35</v>
      </c>
      <c r="E232" s="68">
        <f t="shared" si="17"/>
        <v>209450.28</v>
      </c>
      <c r="F232" s="64">
        <f t="shared" si="16"/>
        <v>842135.99</v>
      </c>
      <c r="G232" s="68">
        <f t="shared" si="19"/>
        <v>-632685.71</v>
      </c>
      <c r="H232" s="66">
        <f>C232/SUM($E$8:E232)*SUM($F$8:F232)</f>
        <v>-19847.857735694404</v>
      </c>
      <c r="I232" s="66">
        <f>C232/SUM($E$8:E232)*SUM($G$8:G232)</f>
        <v>-237648.77226430559</v>
      </c>
    </row>
    <row r="233" spans="2:9">
      <c r="B233" s="67">
        <f t="shared" si="18"/>
        <v>42777</v>
      </c>
      <c r="C233" s="64">
        <f t="shared" si="15"/>
        <v>0</v>
      </c>
      <c r="D233" s="69">
        <v>199690.36</v>
      </c>
      <c r="E233" s="68">
        <f t="shared" si="17"/>
        <v>199690.36</v>
      </c>
      <c r="F233" s="64">
        <f t="shared" si="16"/>
        <v>0</v>
      </c>
      <c r="G233" s="68">
        <f t="shared" si="19"/>
        <v>199690.36</v>
      </c>
      <c r="H233" s="66">
        <f>C233/SUM($E$8:E233)*SUM($F$8:F233)</f>
        <v>0</v>
      </c>
      <c r="I233" s="66">
        <f>C233/SUM($E$8:E233)*SUM($G$8:G233)</f>
        <v>0</v>
      </c>
    </row>
    <row r="234" spans="2:9">
      <c r="B234" s="67">
        <f t="shared" si="18"/>
        <v>42778</v>
      </c>
      <c r="C234" s="64">
        <f t="shared" si="15"/>
        <v>0</v>
      </c>
      <c r="D234" s="69">
        <v>199679.01</v>
      </c>
      <c r="E234" s="68">
        <f t="shared" si="17"/>
        <v>199679.01</v>
      </c>
      <c r="F234" s="64">
        <f t="shared" si="16"/>
        <v>0</v>
      </c>
      <c r="G234" s="68">
        <f t="shared" si="19"/>
        <v>199679.01</v>
      </c>
      <c r="H234" s="66">
        <f>C234/SUM($E$8:E234)*SUM($F$8:F234)</f>
        <v>0</v>
      </c>
      <c r="I234" s="66">
        <f>C234/SUM($E$8:E234)*SUM($G$8:G234)</f>
        <v>0</v>
      </c>
    </row>
    <row r="235" spans="2:9">
      <c r="B235" s="67">
        <f t="shared" si="18"/>
        <v>42779</v>
      </c>
      <c r="C235" s="64">
        <f t="shared" si="15"/>
        <v>-176294.93</v>
      </c>
      <c r="D235" s="69">
        <v>72130.87</v>
      </c>
      <c r="E235" s="68">
        <f t="shared" si="17"/>
        <v>248425.8</v>
      </c>
      <c r="F235" s="64">
        <f t="shared" si="16"/>
        <v>456859.92</v>
      </c>
      <c r="G235" s="68">
        <f t="shared" si="19"/>
        <v>-208434.12</v>
      </c>
      <c r="H235" s="66">
        <f>C235/SUM($E$8:E235)*SUM($F$8:F235)</f>
        <v>-14288.313908988583</v>
      </c>
      <c r="I235" s="66">
        <f>C235/SUM($E$8:E235)*SUM($G$8:G235)</f>
        <v>-162006.61609101138</v>
      </c>
    </row>
    <row r="236" spans="2:9">
      <c r="B236" s="67">
        <f t="shared" si="18"/>
        <v>42780</v>
      </c>
      <c r="C236" s="64">
        <f t="shared" si="15"/>
        <v>-28061.510000000002</v>
      </c>
      <c r="D236" s="69">
        <v>482399.01</v>
      </c>
      <c r="E236" s="68">
        <f t="shared" si="17"/>
        <v>510460.52</v>
      </c>
      <c r="F236" s="64">
        <f t="shared" si="16"/>
        <v>0</v>
      </c>
      <c r="G236" s="68">
        <f t="shared" si="19"/>
        <v>510460.52</v>
      </c>
      <c r="H236" s="66">
        <f>C236/SUM($E$8:E236)*SUM($F$8:F236)</f>
        <v>-2263.0595660866734</v>
      </c>
      <c r="I236" s="66">
        <f>C236/SUM($E$8:E236)*SUM($G$8:G236)</f>
        <v>-25798.450433913327</v>
      </c>
    </row>
    <row r="237" spans="2:9">
      <c r="B237" s="67">
        <f t="shared" si="18"/>
        <v>42781</v>
      </c>
      <c r="C237" s="64">
        <f t="shared" si="15"/>
        <v>30058.319999999985</v>
      </c>
      <c r="D237" s="69">
        <v>336396.59</v>
      </c>
      <c r="E237" s="68">
        <f t="shared" si="17"/>
        <v>306338.27</v>
      </c>
      <c r="F237" s="64">
        <f t="shared" si="16"/>
        <v>0</v>
      </c>
      <c r="G237" s="68">
        <f t="shared" si="19"/>
        <v>306338.27</v>
      </c>
      <c r="H237" s="66">
        <f>C237/SUM($E$8:E237)*SUM($F$8:F237)</f>
        <v>2416.911702045034</v>
      </c>
      <c r="I237" s="66">
        <f>C237/SUM($E$8:E237)*SUM($G$8:G237)</f>
        <v>27641.408297954949</v>
      </c>
    </row>
    <row r="238" spans="2:9">
      <c r="B238" s="67">
        <f t="shared" si="18"/>
        <v>42782</v>
      </c>
      <c r="C238" s="64">
        <f t="shared" si="15"/>
        <v>-172256.02000000002</v>
      </c>
      <c r="D238" s="69">
        <v>237048.17</v>
      </c>
      <c r="E238" s="68">
        <f t="shared" si="17"/>
        <v>409304.19000000006</v>
      </c>
      <c r="F238" s="64">
        <f t="shared" si="16"/>
        <v>0</v>
      </c>
      <c r="G238" s="68">
        <f t="shared" si="19"/>
        <v>409304.19000000006</v>
      </c>
      <c r="H238" s="66">
        <f>C238/SUM($E$8:E238)*SUM($F$8:F238)</f>
        <v>-13796.037233723926</v>
      </c>
      <c r="I238" s="66">
        <f>C238/SUM($E$8:E238)*SUM($G$8:G238)</f>
        <v>-158459.98276627608</v>
      </c>
    </row>
    <row r="239" spans="2:9">
      <c r="B239" s="67">
        <f t="shared" si="18"/>
        <v>42783</v>
      </c>
      <c r="C239" s="64">
        <f t="shared" si="15"/>
        <v>-420441.07</v>
      </c>
      <c r="D239" s="69">
        <v>302428.77</v>
      </c>
      <c r="E239" s="68">
        <f t="shared" si="17"/>
        <v>722869.84000000008</v>
      </c>
      <c r="F239" s="64">
        <f t="shared" si="16"/>
        <v>1809564.59</v>
      </c>
      <c r="G239" s="68">
        <f t="shared" si="19"/>
        <v>-1086694.75</v>
      </c>
      <c r="H239" s="66">
        <f>C239/SUM($E$8:E239)*SUM($F$8:F239)</f>
        <v>-40720.269882063672</v>
      </c>
      <c r="I239" s="66">
        <f>C239/SUM($E$8:E239)*SUM($G$8:G239)</f>
        <v>-379720.80011793633</v>
      </c>
    </row>
    <row r="240" spans="2:9">
      <c r="B240" s="67">
        <f t="shared" si="18"/>
        <v>42784</v>
      </c>
      <c r="C240" s="64">
        <f t="shared" si="15"/>
        <v>0</v>
      </c>
      <c r="D240" s="69">
        <v>135072.62</v>
      </c>
      <c r="E240" s="68">
        <f t="shared" si="17"/>
        <v>135072.62</v>
      </c>
      <c r="F240" s="64">
        <f t="shared" si="16"/>
        <v>0</v>
      </c>
      <c r="G240" s="68">
        <f t="shared" si="19"/>
        <v>135072.62</v>
      </c>
      <c r="H240" s="66">
        <f>C240/SUM($E$8:E240)*SUM($F$8:F240)</f>
        <v>0</v>
      </c>
      <c r="I240" s="66">
        <f>C240/SUM($E$8:E240)*SUM($G$8:G240)</f>
        <v>0</v>
      </c>
    </row>
    <row r="241" spans="2:9">
      <c r="B241" s="67">
        <f t="shared" si="18"/>
        <v>42785</v>
      </c>
      <c r="C241" s="64">
        <f t="shared" si="15"/>
        <v>0</v>
      </c>
      <c r="D241" s="69">
        <v>173304.19</v>
      </c>
      <c r="E241" s="68">
        <f t="shared" si="17"/>
        <v>173304.19</v>
      </c>
      <c r="F241" s="64">
        <f t="shared" si="16"/>
        <v>0</v>
      </c>
      <c r="G241" s="68">
        <f t="shared" si="19"/>
        <v>173304.19</v>
      </c>
      <c r="H241" s="66">
        <f>C241/SUM($E$8:E241)*SUM($F$8:F241)</f>
        <v>0</v>
      </c>
      <c r="I241" s="66">
        <f>C241/SUM($E$8:E241)*SUM($G$8:G241)</f>
        <v>0</v>
      </c>
    </row>
    <row r="242" spans="2:9">
      <c r="B242" s="67">
        <f t="shared" si="18"/>
        <v>42786</v>
      </c>
      <c r="C242" s="64">
        <f t="shared" si="15"/>
        <v>-37754.839999999997</v>
      </c>
      <c r="D242" s="69">
        <v>1263957.5</v>
      </c>
      <c r="E242" s="68">
        <f t="shared" si="17"/>
        <v>1301712.3400000001</v>
      </c>
      <c r="F242" s="64">
        <f t="shared" si="16"/>
        <v>16415.800000000003</v>
      </c>
      <c r="G242" s="68">
        <f t="shared" si="19"/>
        <v>1285296.54</v>
      </c>
      <c r="H242" s="66">
        <f>C242/SUM($E$8:E242)*SUM($F$8:F242)</f>
        <v>-3606.9662871754867</v>
      </c>
      <c r="I242" s="66">
        <f>C242/SUM($E$8:E242)*SUM($G$8:G242)</f>
        <v>-34147.873712824505</v>
      </c>
    </row>
    <row r="243" spans="2:9">
      <c r="B243" s="67">
        <f t="shared" si="18"/>
        <v>42787</v>
      </c>
      <c r="C243" s="64">
        <f t="shared" si="15"/>
        <v>-65868.459999999992</v>
      </c>
      <c r="D243" s="69">
        <v>-294598.7</v>
      </c>
      <c r="E243" s="68">
        <f t="shared" si="17"/>
        <v>-228730.24000000002</v>
      </c>
      <c r="F243" s="64">
        <f t="shared" si="16"/>
        <v>-1113095.9300000002</v>
      </c>
      <c r="G243" s="68">
        <f t="shared" si="19"/>
        <v>884365.69000000018</v>
      </c>
      <c r="H243" s="66">
        <f>C243/SUM($E$8:E243)*SUM($F$8:F243)</f>
        <v>-5614.0397649158776</v>
      </c>
      <c r="I243" s="66">
        <f>C243/SUM($E$8:E243)*SUM($G$8:G243)</f>
        <v>-60254.420235084108</v>
      </c>
    </row>
    <row r="244" spans="2:9">
      <c r="B244" s="67">
        <f t="shared" si="18"/>
        <v>42788</v>
      </c>
      <c r="C244" s="64">
        <f t="shared" si="15"/>
        <v>-243859.63</v>
      </c>
      <c r="D244" s="69">
        <v>328858.7</v>
      </c>
      <c r="E244" s="68">
        <f t="shared" si="17"/>
        <v>572718.33000000007</v>
      </c>
      <c r="F244" s="64">
        <f t="shared" si="16"/>
        <v>-28055.200000000001</v>
      </c>
      <c r="G244" s="68">
        <f t="shared" si="19"/>
        <v>600773.53</v>
      </c>
      <c r="H244" s="66">
        <f>C244/SUM($E$8:E244)*SUM($F$8:F244)</f>
        <v>-20608.346358384861</v>
      </c>
      <c r="I244" s="66">
        <f>C244/SUM($E$8:E244)*SUM($G$8:G244)</f>
        <v>-223251.2836416151</v>
      </c>
    </row>
    <row r="245" spans="2:9">
      <c r="B245" s="67">
        <f t="shared" si="18"/>
        <v>42789</v>
      </c>
      <c r="C245" s="64">
        <f t="shared" si="15"/>
        <v>491205.24</v>
      </c>
      <c r="D245" s="69">
        <v>276008.18</v>
      </c>
      <c r="E245" s="68">
        <f t="shared" si="17"/>
        <v>-215197.06</v>
      </c>
      <c r="F245" s="64">
        <f t="shared" si="16"/>
        <v>0</v>
      </c>
      <c r="G245" s="68">
        <f t="shared" si="19"/>
        <v>-215197.06</v>
      </c>
      <c r="H245" s="66">
        <f>C245/SUM($E$8:E245)*SUM($F$8:F245)</f>
        <v>41595.367873937081</v>
      </c>
      <c r="I245" s="66">
        <f>C245/SUM($E$8:E245)*SUM($G$8:G245)</f>
        <v>449609.87212606287</v>
      </c>
    </row>
    <row r="246" spans="2:9">
      <c r="B246" s="67">
        <f t="shared" si="18"/>
        <v>42790</v>
      </c>
      <c r="C246" s="64">
        <f t="shared" si="15"/>
        <v>-381377.7900000005</v>
      </c>
      <c r="D246" s="69">
        <v>630336.43999999994</v>
      </c>
      <c r="E246" s="68">
        <f t="shared" si="17"/>
        <v>1011714.2300000004</v>
      </c>
      <c r="F246" s="64">
        <f t="shared" si="16"/>
        <v>0</v>
      </c>
      <c r="G246" s="68">
        <f t="shared" si="19"/>
        <v>1011714.2300000004</v>
      </c>
      <c r="H246" s="66">
        <f>C246/SUM($E$8:E246)*SUM($F$8:F246)</f>
        <v>-31990.533658100929</v>
      </c>
      <c r="I246" s="66">
        <f>C246/SUM($E$8:E246)*SUM($G$8:G246)</f>
        <v>-349387.25634189957</v>
      </c>
    </row>
    <row r="247" spans="2:9">
      <c r="B247" s="67">
        <f t="shared" si="18"/>
        <v>42791</v>
      </c>
      <c r="C247" s="64">
        <f t="shared" si="15"/>
        <v>0</v>
      </c>
      <c r="D247" s="69">
        <v>195012.65</v>
      </c>
      <c r="E247" s="68">
        <f t="shared" si="17"/>
        <v>195012.65</v>
      </c>
      <c r="F247" s="64">
        <f t="shared" si="16"/>
        <v>0</v>
      </c>
      <c r="G247" s="68">
        <f t="shared" si="19"/>
        <v>195012.65</v>
      </c>
      <c r="H247" s="66">
        <f>C247/SUM($E$8:E247)*SUM($F$8:F247)</f>
        <v>0</v>
      </c>
      <c r="I247" s="66">
        <f>C247/SUM($E$8:E247)*SUM($G$8:G247)</f>
        <v>0</v>
      </c>
    </row>
    <row r="248" spans="2:9">
      <c r="B248" s="67">
        <f t="shared" si="18"/>
        <v>42792</v>
      </c>
      <c r="C248" s="64">
        <f t="shared" si="15"/>
        <v>0</v>
      </c>
      <c r="D248" s="69">
        <v>195001.3</v>
      </c>
      <c r="E248" s="68">
        <f t="shared" si="17"/>
        <v>195001.3</v>
      </c>
      <c r="F248" s="64">
        <f t="shared" si="16"/>
        <v>0</v>
      </c>
      <c r="G248" s="68">
        <f t="shared" si="19"/>
        <v>195001.3</v>
      </c>
      <c r="H248" s="66">
        <f>C248/SUM($E$8:E248)*SUM($F$8:F248)</f>
        <v>0</v>
      </c>
      <c r="I248" s="66">
        <f>C248/SUM($E$8:E248)*SUM($G$8:G248)</f>
        <v>0</v>
      </c>
    </row>
    <row r="249" spans="2:9">
      <c r="B249" s="67">
        <f t="shared" si="18"/>
        <v>42793</v>
      </c>
      <c r="C249" s="64">
        <f t="shared" si="15"/>
        <v>-20114.690000000002</v>
      </c>
      <c r="D249" s="69">
        <v>323339.14</v>
      </c>
      <c r="E249" s="68">
        <f t="shared" si="17"/>
        <v>343453.83</v>
      </c>
      <c r="F249" s="64">
        <f t="shared" si="16"/>
        <v>0</v>
      </c>
      <c r="G249" s="68">
        <f t="shared" si="19"/>
        <v>343453.83</v>
      </c>
      <c r="H249" s="66">
        <f>C249/SUM($E$8:E249)*SUM($F$8:F249)</f>
        <v>-1675.7904639158846</v>
      </c>
      <c r="I249" s="66">
        <f>C249/SUM($E$8:E249)*SUM($G$8:G249)</f>
        <v>-18438.899536084115</v>
      </c>
    </row>
    <row r="250" spans="2:9">
      <c r="B250" s="67">
        <f t="shared" si="18"/>
        <v>42794</v>
      </c>
      <c r="C250" s="64">
        <f t="shared" si="15"/>
        <v>200041.21999999997</v>
      </c>
      <c r="D250" s="69">
        <v>453581.44</v>
      </c>
      <c r="E250" s="68">
        <f t="shared" si="17"/>
        <v>253540.22000000003</v>
      </c>
      <c r="F250" s="64">
        <f t="shared" si="16"/>
        <v>869247.42</v>
      </c>
      <c r="G250" s="68">
        <f t="shared" si="19"/>
        <v>-615707.19999999995</v>
      </c>
      <c r="H250" s="66">
        <f>C250/SUM($E$8:E250)*SUM($F$8:F250)</f>
        <v>18233.139962220819</v>
      </c>
      <c r="I250" s="66">
        <f>C250/SUM($E$8:E250)*SUM($G$8:G250)</f>
        <v>181808.08003777915</v>
      </c>
    </row>
    <row r="251" spans="2:9">
      <c r="B251" s="67">
        <f>+B250+1</f>
        <v>42795</v>
      </c>
      <c r="C251" s="64">
        <f t="shared" si="15"/>
        <v>0</v>
      </c>
      <c r="D251" s="69">
        <v>513811.06</v>
      </c>
      <c r="E251" s="68">
        <f t="shared" si="17"/>
        <v>513811.06</v>
      </c>
      <c r="F251" s="64">
        <f t="shared" si="16"/>
        <v>0</v>
      </c>
      <c r="G251" s="68">
        <f t="shared" si="19"/>
        <v>513811.06</v>
      </c>
      <c r="H251" s="66">
        <f>C251/SUM($E$8:E251)*SUM($F$8:F251)</f>
        <v>0</v>
      </c>
      <c r="I251" s="66">
        <f>C251/SUM($E$8:E251)*SUM($G$8:G251)</f>
        <v>0</v>
      </c>
    </row>
    <row r="252" spans="2:9">
      <c r="B252" s="67">
        <f t="shared" si="18"/>
        <v>42796</v>
      </c>
      <c r="C252" s="64">
        <f t="shared" si="15"/>
        <v>-322456.28000000003</v>
      </c>
      <c r="D252" s="69">
        <v>199378</v>
      </c>
      <c r="E252" s="68">
        <f t="shared" si="17"/>
        <v>521834.28</v>
      </c>
      <c r="F252" s="64">
        <f t="shared" si="16"/>
        <v>0</v>
      </c>
      <c r="G252" s="68">
        <f t="shared" si="19"/>
        <v>521834.28</v>
      </c>
      <c r="H252" s="66">
        <f>C252/SUM($E$8:E252)*SUM($F$8:F252)</f>
        <v>-29112.362521217176</v>
      </c>
      <c r="I252" s="66">
        <f>C252/SUM($E$8:E252)*SUM($G$8:G252)</f>
        <v>-293343.91747878282</v>
      </c>
    </row>
    <row r="253" spans="2:9">
      <c r="B253" s="67">
        <f t="shared" si="18"/>
        <v>42797</v>
      </c>
      <c r="C253" s="64">
        <f t="shared" si="15"/>
        <v>-1298748.2000000002</v>
      </c>
      <c r="D253" s="69">
        <v>465439.01</v>
      </c>
      <c r="E253" s="68">
        <f t="shared" si="17"/>
        <v>1764187.2100000002</v>
      </c>
      <c r="F253" s="64">
        <f t="shared" si="16"/>
        <v>0</v>
      </c>
      <c r="G253" s="68">
        <f t="shared" si="19"/>
        <v>1764187.2100000002</v>
      </c>
      <c r="H253" s="66">
        <f>C253/SUM($E$8:E253)*SUM($F$8:F253)</f>
        <v>-115392.22408073944</v>
      </c>
      <c r="I253" s="66">
        <f>C253/SUM($E$8:E253)*SUM($G$8:G253)</f>
        <v>-1183355.9759192604</v>
      </c>
    </row>
    <row r="254" spans="2:9">
      <c r="B254" s="67">
        <f t="shared" si="18"/>
        <v>42798</v>
      </c>
      <c r="C254" s="64">
        <f t="shared" si="15"/>
        <v>0</v>
      </c>
      <c r="D254" s="69">
        <v>222292.81</v>
      </c>
      <c r="E254" s="68">
        <f t="shared" si="17"/>
        <v>222292.81</v>
      </c>
      <c r="F254" s="64">
        <f t="shared" si="16"/>
        <v>0</v>
      </c>
      <c r="G254" s="68">
        <f t="shared" si="19"/>
        <v>222292.81</v>
      </c>
      <c r="H254" s="66">
        <f>C254/SUM($E$8:E254)*SUM($F$8:F254)</f>
        <v>0</v>
      </c>
      <c r="I254" s="66">
        <f>C254/SUM($E$8:E254)*SUM($G$8:G254)</f>
        <v>0</v>
      </c>
    </row>
    <row r="255" spans="2:9">
      <c r="B255" s="67">
        <f t="shared" si="18"/>
        <v>42799</v>
      </c>
      <c r="C255" s="64">
        <f t="shared" si="15"/>
        <v>0</v>
      </c>
      <c r="D255" s="69">
        <v>222280.29</v>
      </c>
      <c r="E255" s="68">
        <f t="shared" si="17"/>
        <v>222280.29</v>
      </c>
      <c r="F255" s="64">
        <f t="shared" si="16"/>
        <v>0</v>
      </c>
      <c r="G255" s="68">
        <f t="shared" si="19"/>
        <v>222280.29</v>
      </c>
      <c r="H255" s="66">
        <f>C255/SUM($E$8:E255)*SUM($F$8:F255)</f>
        <v>0</v>
      </c>
      <c r="I255" s="66">
        <f>C255/SUM($E$8:E255)*SUM($G$8:G255)</f>
        <v>0</v>
      </c>
    </row>
    <row r="256" spans="2:9">
      <c r="B256" s="67">
        <f t="shared" si="18"/>
        <v>42800</v>
      </c>
      <c r="C256" s="64">
        <f t="shared" si="15"/>
        <v>-259239.19000000003</v>
      </c>
      <c r="D256" s="69">
        <v>446351.62</v>
      </c>
      <c r="E256" s="68">
        <f t="shared" si="17"/>
        <v>705590.81</v>
      </c>
      <c r="F256" s="64">
        <f t="shared" si="16"/>
        <v>24830</v>
      </c>
      <c r="G256" s="68">
        <f t="shared" si="19"/>
        <v>680760.81</v>
      </c>
      <c r="H256" s="66">
        <f>C256/SUM($E$8:E256)*SUM($F$8:F256)</f>
        <v>-22854.34328937481</v>
      </c>
      <c r="I256" s="66">
        <f>C256/SUM($E$8:E256)*SUM($G$8:G256)</f>
        <v>-236384.84671062519</v>
      </c>
    </row>
    <row r="257" spans="2:9">
      <c r="B257" s="67">
        <f t="shared" si="18"/>
        <v>42801</v>
      </c>
      <c r="C257" s="64">
        <f t="shared" si="15"/>
        <v>-70886.62</v>
      </c>
      <c r="D257" s="69">
        <v>40275.47</v>
      </c>
      <c r="E257" s="68">
        <f t="shared" si="17"/>
        <v>111162.09</v>
      </c>
      <c r="F257" s="64">
        <f t="shared" si="16"/>
        <v>0</v>
      </c>
      <c r="G257" s="68">
        <f t="shared" si="19"/>
        <v>111162.09</v>
      </c>
      <c r="H257" s="66">
        <f>C257/SUM($E$8:E257)*SUM($F$8:F257)</f>
        <v>-6243.1286026622392</v>
      </c>
      <c r="I257" s="66">
        <f>C257/SUM($E$8:E257)*SUM($G$8:G257)</f>
        <v>-64643.491397337748</v>
      </c>
    </row>
    <row r="258" spans="2:9">
      <c r="B258" s="67">
        <f t="shared" si="18"/>
        <v>42802</v>
      </c>
      <c r="C258" s="64">
        <f t="shared" si="15"/>
        <v>3492817.9200000004</v>
      </c>
      <c r="D258" s="69">
        <v>1036635.93</v>
      </c>
      <c r="E258" s="68">
        <f t="shared" si="17"/>
        <v>-2456181.9900000002</v>
      </c>
      <c r="F258" s="64">
        <f t="shared" si="16"/>
        <v>0</v>
      </c>
      <c r="G258" s="68">
        <f t="shared" si="19"/>
        <v>-2456181.9900000002</v>
      </c>
      <c r="H258" s="66">
        <f>C258/SUM($E$8:E258)*SUM($F$8:F258)</f>
        <v>314497.68819806364</v>
      </c>
      <c r="I258" s="66">
        <f>C258/SUM($E$8:E258)*SUM($G$8:G258)</f>
        <v>3178320.2318019369</v>
      </c>
    </row>
    <row r="259" spans="2:9">
      <c r="B259" s="67">
        <f t="shared" si="18"/>
        <v>42803</v>
      </c>
      <c r="C259" s="64">
        <f t="shared" si="15"/>
        <v>0</v>
      </c>
      <c r="D259" s="69">
        <v>-18344.75</v>
      </c>
      <c r="E259" s="68">
        <f t="shared" si="17"/>
        <v>-18344.75</v>
      </c>
      <c r="F259" s="64">
        <f t="shared" si="16"/>
        <v>0</v>
      </c>
      <c r="G259" s="68">
        <f t="shared" si="19"/>
        <v>-18344.75</v>
      </c>
      <c r="H259" s="66">
        <f>C259/SUM($E$8:E259)*SUM($F$8:F259)</f>
        <v>0</v>
      </c>
      <c r="I259" s="66">
        <f>C259/SUM($E$8:E259)*SUM($G$8:G259)</f>
        <v>0</v>
      </c>
    </row>
    <row r="260" spans="2:9">
      <c r="B260" s="67">
        <f t="shared" si="18"/>
        <v>42804</v>
      </c>
      <c r="C260" s="64">
        <f t="shared" si="15"/>
        <v>3649979.1100000003</v>
      </c>
      <c r="D260" s="69">
        <v>387441.46</v>
      </c>
      <c r="E260" s="68">
        <f t="shared" si="17"/>
        <v>-3262537.6500000004</v>
      </c>
      <c r="F260" s="64">
        <f t="shared" si="16"/>
        <v>27770.7</v>
      </c>
      <c r="G260" s="68">
        <f t="shared" si="19"/>
        <v>-3290308.3500000006</v>
      </c>
      <c r="H260" s="66">
        <f>C260/SUM($E$8:E260)*SUM($F$8:F260)</f>
        <v>339717.61591522116</v>
      </c>
      <c r="I260" s="66">
        <f>C260/SUM($E$8:E260)*SUM($G$8:G260)</f>
        <v>3310261.4940847792</v>
      </c>
    </row>
    <row r="261" spans="2:9">
      <c r="B261" s="67">
        <f t="shared" si="18"/>
        <v>42805</v>
      </c>
      <c r="C261" s="64">
        <f t="shared" si="15"/>
        <v>0</v>
      </c>
      <c r="D261" s="69">
        <v>226619.1</v>
      </c>
      <c r="E261" s="68">
        <f t="shared" si="17"/>
        <v>226619.1</v>
      </c>
      <c r="F261" s="64">
        <f t="shared" si="16"/>
        <v>0</v>
      </c>
      <c r="G261" s="68">
        <f t="shared" si="19"/>
        <v>226619.1</v>
      </c>
      <c r="H261" s="66">
        <f>C261/SUM($E$8:E261)*SUM($F$8:F261)</f>
        <v>0</v>
      </c>
      <c r="I261" s="66">
        <f>C261/SUM($E$8:E261)*SUM($G$8:G261)</f>
        <v>0</v>
      </c>
    </row>
    <row r="262" spans="2:9">
      <c r="B262" s="67">
        <f t="shared" si="18"/>
        <v>42806</v>
      </c>
      <c r="C262" s="64">
        <f t="shared" si="15"/>
        <v>0</v>
      </c>
      <c r="D262" s="69">
        <v>226168.49</v>
      </c>
      <c r="E262" s="68">
        <f t="shared" si="17"/>
        <v>226168.49</v>
      </c>
      <c r="F262" s="64">
        <f t="shared" si="16"/>
        <v>0</v>
      </c>
      <c r="G262" s="68">
        <f t="shared" si="19"/>
        <v>226168.49</v>
      </c>
      <c r="H262" s="66">
        <f>C262/SUM($E$8:E262)*SUM($F$8:F262)</f>
        <v>0</v>
      </c>
      <c r="I262" s="66">
        <f>C262/SUM($E$8:E262)*SUM($G$8:G262)</f>
        <v>0</v>
      </c>
    </row>
    <row r="263" spans="2:9">
      <c r="B263" s="67">
        <f t="shared" si="18"/>
        <v>42807</v>
      </c>
      <c r="C263" s="64">
        <f t="shared" si="15"/>
        <v>0</v>
      </c>
      <c r="D263" s="69">
        <v>261168.48</v>
      </c>
      <c r="E263" s="68">
        <f t="shared" si="17"/>
        <v>261168.48</v>
      </c>
      <c r="F263" s="64">
        <f t="shared" si="16"/>
        <v>-263515.99</v>
      </c>
      <c r="G263" s="68">
        <f t="shared" si="19"/>
        <v>524684.47</v>
      </c>
      <c r="H263" s="66">
        <f>C263/SUM($E$8:E263)*SUM($F$8:F263)</f>
        <v>0</v>
      </c>
      <c r="I263" s="66">
        <f>C263/SUM($E$8:E263)*SUM($G$8:G263)</f>
        <v>0</v>
      </c>
    </row>
    <row r="264" spans="2:9">
      <c r="B264" s="67">
        <f t="shared" si="18"/>
        <v>42808</v>
      </c>
      <c r="C264" s="64">
        <f t="shared" ref="C264:C327" si="20">SUMIF($D$377:$D$1380,B264,$E$377:$E$1380)</f>
        <v>-2175633.6700000018</v>
      </c>
      <c r="D264" s="69">
        <v>215072.77</v>
      </c>
      <c r="E264" s="68">
        <f t="shared" si="17"/>
        <v>2390706.4400000018</v>
      </c>
      <c r="F264" s="64">
        <f t="shared" ref="F264:F327" si="21">SUMIF($B$376:$B$747,B264,$C$376:$C$747)</f>
        <v>0</v>
      </c>
      <c r="G264" s="68">
        <f t="shared" si="19"/>
        <v>2390706.4400000018</v>
      </c>
      <c r="H264" s="66">
        <f>C264/SUM($E$8:E264)*SUM($F$8:F264)</f>
        <v>-191535.02609907641</v>
      </c>
      <c r="I264" s="66">
        <f>C264/SUM($E$8:E264)*SUM($G$8:G264)</f>
        <v>-1984098.6439009253</v>
      </c>
    </row>
    <row r="265" spans="2:9">
      <c r="B265" s="67">
        <f t="shared" si="18"/>
        <v>42809</v>
      </c>
      <c r="C265" s="64">
        <f t="shared" si="20"/>
        <v>0</v>
      </c>
      <c r="D265" s="69">
        <v>18949.759999999998</v>
      </c>
      <c r="E265" s="68">
        <f t="shared" ref="E265:E328" si="22">+D265-C265</f>
        <v>18949.759999999998</v>
      </c>
      <c r="F265" s="64">
        <f t="shared" si="21"/>
        <v>-49236.9</v>
      </c>
      <c r="G265" s="68">
        <f t="shared" si="19"/>
        <v>68186.66</v>
      </c>
      <c r="H265" s="66">
        <f>C265/SUM($E$8:E265)*SUM($F$8:F265)</f>
        <v>0</v>
      </c>
      <c r="I265" s="66">
        <f>C265/SUM($E$8:E265)*SUM($G$8:G265)</f>
        <v>0</v>
      </c>
    </row>
    <row r="266" spans="2:9">
      <c r="B266" s="67">
        <f t="shared" ref="B266:B329" si="23">+B265+1</f>
        <v>42810</v>
      </c>
      <c r="C266" s="64">
        <f t="shared" si="20"/>
        <v>256227.65</v>
      </c>
      <c r="D266" s="69">
        <v>331054.49</v>
      </c>
      <c r="E266" s="68">
        <f t="shared" si="22"/>
        <v>74826.84</v>
      </c>
      <c r="F266" s="64">
        <f t="shared" si="21"/>
        <v>-1385655.69</v>
      </c>
      <c r="G266" s="68">
        <f t="shared" ref="G266:G329" si="24">E266-F266</f>
        <v>1460482.53</v>
      </c>
      <c r="H266" s="66">
        <f>C266/SUM($E$8:E266)*SUM($F$8:F266)</f>
        <v>19188.699796838027</v>
      </c>
      <c r="I266" s="66">
        <f>C266/SUM($E$8:E266)*SUM($G$8:G266)</f>
        <v>237038.95020316192</v>
      </c>
    </row>
    <row r="267" spans="2:9">
      <c r="B267" s="67">
        <f t="shared" si="23"/>
        <v>42811</v>
      </c>
      <c r="C267" s="64">
        <f t="shared" si="20"/>
        <v>2737377.49</v>
      </c>
      <c r="D267" s="69">
        <v>555941.57999999996</v>
      </c>
      <c r="E267" s="68">
        <f t="shared" si="22"/>
        <v>-2181435.91</v>
      </c>
      <c r="F267" s="64">
        <f t="shared" si="21"/>
        <v>-132865.79999999999</v>
      </c>
      <c r="G267" s="68">
        <f t="shared" si="24"/>
        <v>-2048570.11</v>
      </c>
      <c r="H267" s="66">
        <f>C267/SUM($E$8:E267)*SUM($F$8:F267)</f>
        <v>205776.21132246603</v>
      </c>
      <c r="I267" s="66">
        <f>C267/SUM($E$8:E267)*SUM($G$8:G267)</f>
        <v>2531601.2786775338</v>
      </c>
    </row>
    <row r="268" spans="2:9">
      <c r="B268" s="67">
        <f t="shared" si="23"/>
        <v>42812</v>
      </c>
      <c r="C268" s="64">
        <f t="shared" si="20"/>
        <v>0</v>
      </c>
      <c r="D268" s="69">
        <v>228047.89</v>
      </c>
      <c r="E268" s="68">
        <f t="shared" si="22"/>
        <v>228047.89</v>
      </c>
      <c r="F268" s="64">
        <f t="shared" si="21"/>
        <v>0</v>
      </c>
      <c r="G268" s="68">
        <f t="shared" si="24"/>
        <v>228047.89</v>
      </c>
      <c r="H268" s="66">
        <f>C268/SUM($E$8:E268)*SUM($F$8:F268)</f>
        <v>0</v>
      </c>
      <c r="I268" s="66">
        <f>C268/SUM($E$8:E268)*SUM($G$8:G268)</f>
        <v>0</v>
      </c>
    </row>
    <row r="269" spans="2:9">
      <c r="B269" s="67">
        <f t="shared" si="23"/>
        <v>42813</v>
      </c>
      <c r="C269" s="64">
        <f t="shared" si="20"/>
        <v>0</v>
      </c>
      <c r="D269" s="69">
        <v>228035.35</v>
      </c>
      <c r="E269" s="68">
        <f t="shared" si="22"/>
        <v>228035.35</v>
      </c>
      <c r="F269" s="64">
        <f t="shared" si="21"/>
        <v>0</v>
      </c>
      <c r="G269" s="68">
        <f t="shared" si="24"/>
        <v>228035.35</v>
      </c>
      <c r="H269" s="66">
        <f>C269/SUM($E$8:E269)*SUM($F$8:F269)</f>
        <v>0</v>
      </c>
      <c r="I269" s="66">
        <f>C269/SUM($E$8:E269)*SUM($G$8:G269)</f>
        <v>0</v>
      </c>
    </row>
    <row r="270" spans="2:9">
      <c r="B270" s="67">
        <f t="shared" si="23"/>
        <v>42814</v>
      </c>
      <c r="C270" s="64">
        <f t="shared" si="20"/>
        <v>1256053.76</v>
      </c>
      <c r="D270" s="69">
        <v>213488.79</v>
      </c>
      <c r="E270" s="68">
        <f t="shared" si="22"/>
        <v>-1042564.97</v>
      </c>
      <c r="F270" s="64">
        <f t="shared" si="21"/>
        <v>0</v>
      </c>
      <c r="G270" s="68">
        <f t="shared" si="24"/>
        <v>-1042564.97</v>
      </c>
      <c r="H270" s="66">
        <f>C270/SUM($E$8:E270)*SUM($F$8:F270)</f>
        <v>94938.553974421317</v>
      </c>
      <c r="I270" s="66">
        <f>C270/SUM($E$8:E270)*SUM($G$8:G270)</f>
        <v>1161115.2060255783</v>
      </c>
    </row>
    <row r="271" spans="2:9">
      <c r="B271" s="67">
        <f t="shared" si="23"/>
        <v>42815</v>
      </c>
      <c r="C271" s="64">
        <f t="shared" si="20"/>
        <v>26738.820000000007</v>
      </c>
      <c r="D271" s="69">
        <v>330827.73</v>
      </c>
      <c r="E271" s="68">
        <f t="shared" si="22"/>
        <v>304088.90999999997</v>
      </c>
      <c r="F271" s="64">
        <f t="shared" si="21"/>
        <v>-41284.599999999991</v>
      </c>
      <c r="G271" s="68">
        <f t="shared" si="24"/>
        <v>345373.50999999995</v>
      </c>
      <c r="H271" s="66">
        <f>C271/SUM($E$8:E271)*SUM($F$8:F271)</f>
        <v>2005.0330526565037</v>
      </c>
      <c r="I271" s="66">
        <f>C271/SUM($E$8:E271)*SUM($G$8:G271)</f>
        <v>24733.786947343502</v>
      </c>
    </row>
    <row r="272" spans="2:9">
      <c r="B272" s="67">
        <f t="shared" si="23"/>
        <v>42816</v>
      </c>
      <c r="C272" s="64">
        <f t="shared" si="20"/>
        <v>17591502.510000002</v>
      </c>
      <c r="D272" s="69">
        <v>159610.72</v>
      </c>
      <c r="E272" s="68">
        <f t="shared" si="22"/>
        <v>-17431891.790000003</v>
      </c>
      <c r="F272" s="64">
        <f t="shared" si="21"/>
        <v>-94127.790000000008</v>
      </c>
      <c r="G272" s="68">
        <f t="shared" si="24"/>
        <v>-17337764.000000004</v>
      </c>
      <c r="H272" s="66">
        <f>C272/SUM($E$8:E272)*SUM($F$8:F272)</f>
        <v>1556546.4334023295</v>
      </c>
      <c r="I272" s="66">
        <f>C272/SUM($E$8:E272)*SUM($G$8:G272)</f>
        <v>16034956.07659767</v>
      </c>
    </row>
    <row r="273" spans="2:9">
      <c r="B273" s="67">
        <f t="shared" si="23"/>
        <v>42817</v>
      </c>
      <c r="C273" s="64">
        <f t="shared" si="20"/>
        <v>0</v>
      </c>
      <c r="D273" s="69">
        <v>338802.18</v>
      </c>
      <c r="E273" s="68">
        <f t="shared" si="22"/>
        <v>338802.18</v>
      </c>
      <c r="F273" s="64">
        <f t="shared" si="21"/>
        <v>0</v>
      </c>
      <c r="G273" s="68">
        <f t="shared" si="24"/>
        <v>338802.18</v>
      </c>
      <c r="H273" s="66">
        <f>C273/SUM($E$8:E273)*SUM($F$8:F273)</f>
        <v>0</v>
      </c>
      <c r="I273" s="66">
        <f>C273/SUM($E$8:E273)*SUM($G$8:G273)</f>
        <v>0</v>
      </c>
    </row>
    <row r="274" spans="2:9">
      <c r="B274" s="67">
        <f t="shared" si="23"/>
        <v>42818</v>
      </c>
      <c r="C274" s="64">
        <f t="shared" si="20"/>
        <v>0</v>
      </c>
      <c r="D274" s="69">
        <v>415158.59</v>
      </c>
      <c r="E274" s="68">
        <f t="shared" si="22"/>
        <v>415158.59</v>
      </c>
      <c r="F274" s="64">
        <f t="shared" si="21"/>
        <v>-96060.2</v>
      </c>
      <c r="G274" s="68">
        <f t="shared" si="24"/>
        <v>511218.79000000004</v>
      </c>
      <c r="H274" s="66">
        <f>C274/SUM($E$8:E274)*SUM($F$8:F274)</f>
        <v>0</v>
      </c>
      <c r="I274" s="66">
        <f>C274/SUM($E$8:E274)*SUM($G$8:G274)</f>
        <v>0</v>
      </c>
    </row>
    <row r="275" spans="2:9">
      <c r="B275" s="67">
        <f t="shared" si="23"/>
        <v>42819</v>
      </c>
      <c r="C275" s="64">
        <f t="shared" si="20"/>
        <v>0</v>
      </c>
      <c r="D275" s="69">
        <v>343634.48</v>
      </c>
      <c r="E275" s="68">
        <f t="shared" si="22"/>
        <v>343634.48</v>
      </c>
      <c r="F275" s="64">
        <f t="shared" si="21"/>
        <v>0</v>
      </c>
      <c r="G275" s="68">
        <f t="shared" si="24"/>
        <v>343634.48</v>
      </c>
      <c r="H275" s="66">
        <f>C275/SUM($E$8:E275)*SUM($F$8:F275)</f>
        <v>0</v>
      </c>
      <c r="I275" s="66">
        <f>C275/SUM($E$8:E275)*SUM($G$8:G275)</f>
        <v>0</v>
      </c>
    </row>
    <row r="276" spans="2:9">
      <c r="B276" s="67">
        <f t="shared" si="23"/>
        <v>42820</v>
      </c>
      <c r="C276" s="64">
        <f t="shared" si="20"/>
        <v>0</v>
      </c>
      <c r="D276" s="69">
        <v>343671.17</v>
      </c>
      <c r="E276" s="68">
        <f t="shared" si="22"/>
        <v>343671.17</v>
      </c>
      <c r="F276" s="64">
        <f t="shared" si="21"/>
        <v>0</v>
      </c>
      <c r="G276" s="68">
        <f t="shared" si="24"/>
        <v>343671.17</v>
      </c>
      <c r="H276" s="66">
        <f>C276/SUM($E$8:E276)*SUM($F$8:F276)</f>
        <v>0</v>
      </c>
      <c r="I276" s="66">
        <f>C276/SUM($E$8:E276)*SUM($G$8:G276)</f>
        <v>0</v>
      </c>
    </row>
    <row r="277" spans="2:9">
      <c r="B277" s="67">
        <f t="shared" si="23"/>
        <v>42821</v>
      </c>
      <c r="C277" s="64">
        <f t="shared" si="20"/>
        <v>-71693.150000000009</v>
      </c>
      <c r="D277" s="69">
        <v>401691.83</v>
      </c>
      <c r="E277" s="68">
        <f t="shared" si="22"/>
        <v>473384.98000000004</v>
      </c>
      <c r="F277" s="64">
        <f t="shared" si="21"/>
        <v>0</v>
      </c>
      <c r="G277" s="68">
        <f t="shared" si="24"/>
        <v>473384.98000000004</v>
      </c>
      <c r="H277" s="66">
        <f>C277/SUM($E$8:E277)*SUM($F$8:F277)</f>
        <v>-6136.259489310035</v>
      </c>
      <c r="I277" s="66">
        <f>C277/SUM($E$8:E277)*SUM($G$8:G277)</f>
        <v>-65556.890510689977</v>
      </c>
    </row>
    <row r="278" spans="2:9">
      <c r="B278" s="67">
        <f t="shared" si="23"/>
        <v>42822</v>
      </c>
      <c r="C278" s="64">
        <f t="shared" si="20"/>
        <v>-1898388.24</v>
      </c>
      <c r="D278" s="69">
        <v>449081.92</v>
      </c>
      <c r="E278" s="68">
        <f t="shared" si="22"/>
        <v>2347470.16</v>
      </c>
      <c r="F278" s="64">
        <f t="shared" si="21"/>
        <v>0</v>
      </c>
      <c r="G278" s="68">
        <f t="shared" si="24"/>
        <v>2347470.16</v>
      </c>
      <c r="H278" s="66">
        <f>C278/SUM($E$8:E278)*SUM($F$8:F278)</f>
        <v>-158432.27637373668</v>
      </c>
      <c r="I278" s="66">
        <f>C278/SUM($E$8:E278)*SUM($G$8:G278)</f>
        <v>-1739955.9636262634</v>
      </c>
    </row>
    <row r="279" spans="2:9">
      <c r="B279" s="67">
        <f t="shared" si="23"/>
        <v>42823</v>
      </c>
      <c r="C279" s="64">
        <f t="shared" si="20"/>
        <v>413527.43999999977</v>
      </c>
      <c r="D279" s="69">
        <v>333292.78000000003</v>
      </c>
      <c r="E279" s="68">
        <f t="shared" si="22"/>
        <v>-80234.659999999742</v>
      </c>
      <c r="F279" s="64">
        <f t="shared" si="21"/>
        <v>0</v>
      </c>
      <c r="G279" s="68">
        <f t="shared" si="24"/>
        <v>-80234.659999999742</v>
      </c>
      <c r="H279" s="66">
        <f>C279/SUM($E$8:E279)*SUM($F$8:F279)</f>
        <v>34540.870808494517</v>
      </c>
      <c r="I279" s="66">
        <f>C279/SUM($E$8:E279)*SUM($G$8:G279)</f>
        <v>378986.56919150526</v>
      </c>
    </row>
    <row r="280" spans="2:9">
      <c r="B280" s="67">
        <f t="shared" si="23"/>
        <v>42824</v>
      </c>
      <c r="C280" s="64">
        <f t="shared" si="20"/>
        <v>-3501826.8699999996</v>
      </c>
      <c r="D280" s="69">
        <v>494654.71</v>
      </c>
      <c r="E280" s="68">
        <f t="shared" si="22"/>
        <v>3996481.5799999996</v>
      </c>
      <c r="F280" s="64">
        <f t="shared" si="21"/>
        <v>0</v>
      </c>
      <c r="G280" s="68">
        <f t="shared" si="24"/>
        <v>3996481.5799999996</v>
      </c>
      <c r="H280" s="66">
        <f>C280/SUM($E$8:E280)*SUM($F$8:F280)</f>
        <v>-280576.5247979394</v>
      </c>
      <c r="I280" s="66">
        <f>C280/SUM($E$8:E280)*SUM($G$8:G280)</f>
        <v>-3221250.34520206</v>
      </c>
    </row>
    <row r="281" spans="2:9">
      <c r="B281" s="67">
        <f t="shared" si="23"/>
        <v>42825</v>
      </c>
      <c r="C281" s="64">
        <f t="shared" si="20"/>
        <v>249172.89</v>
      </c>
      <c r="D281" s="69">
        <v>234323.14</v>
      </c>
      <c r="E281" s="68">
        <f t="shared" si="22"/>
        <v>-14849.75</v>
      </c>
      <c r="F281" s="64">
        <f t="shared" si="21"/>
        <v>0</v>
      </c>
      <c r="G281" s="68">
        <f t="shared" si="24"/>
        <v>-14849.75</v>
      </c>
      <c r="H281" s="66">
        <f>C281/SUM($E$8:E281)*SUM($F$8:F281)</f>
        <v>19967.478643593735</v>
      </c>
      <c r="I281" s="66">
        <f>C281/SUM($E$8:E281)*SUM($G$8:G281)</f>
        <v>229205.41135640626</v>
      </c>
    </row>
    <row r="282" spans="2:9">
      <c r="B282" s="67">
        <f t="shared" si="23"/>
        <v>42826</v>
      </c>
      <c r="C282" s="64">
        <f t="shared" si="20"/>
        <v>0</v>
      </c>
      <c r="D282" s="69">
        <v>303172.56</v>
      </c>
      <c r="E282" s="68">
        <f t="shared" si="22"/>
        <v>303172.56</v>
      </c>
      <c r="F282" s="64">
        <f t="shared" si="21"/>
        <v>0</v>
      </c>
      <c r="G282" s="68">
        <f t="shared" si="24"/>
        <v>303172.56</v>
      </c>
      <c r="H282" s="66">
        <f>C282/SUM($E$8:E282)*SUM($F$8:F282)</f>
        <v>0</v>
      </c>
      <c r="I282" s="66">
        <f>C282/SUM($E$8:E282)*SUM($G$8:G282)</f>
        <v>0</v>
      </c>
    </row>
    <row r="283" spans="2:9">
      <c r="B283" s="67">
        <f t="shared" si="23"/>
        <v>42827</v>
      </c>
      <c r="C283" s="64">
        <f t="shared" si="20"/>
        <v>0</v>
      </c>
      <c r="D283" s="69">
        <v>303171.75</v>
      </c>
      <c r="E283" s="68">
        <f t="shared" si="22"/>
        <v>303171.75</v>
      </c>
      <c r="F283" s="64">
        <f t="shared" si="21"/>
        <v>0</v>
      </c>
      <c r="G283" s="68">
        <f t="shared" si="24"/>
        <v>303171.75</v>
      </c>
      <c r="H283" s="66">
        <f>C283/SUM($E$8:E283)*SUM($F$8:F283)</f>
        <v>0</v>
      </c>
      <c r="I283" s="66">
        <f>C283/SUM($E$8:E283)*SUM($G$8:G283)</f>
        <v>0</v>
      </c>
    </row>
    <row r="284" spans="2:9">
      <c r="B284" s="67">
        <f t="shared" si="23"/>
        <v>42828</v>
      </c>
      <c r="C284" s="64">
        <f t="shared" si="20"/>
        <v>-2273979.9699999997</v>
      </c>
      <c r="D284" s="69">
        <v>568093.59</v>
      </c>
      <c r="E284" s="68">
        <f t="shared" si="22"/>
        <v>2842073.5599999996</v>
      </c>
      <c r="F284" s="64">
        <f t="shared" si="21"/>
        <v>0</v>
      </c>
      <c r="G284" s="68">
        <f t="shared" si="24"/>
        <v>2842073.5599999996</v>
      </c>
      <c r="H284" s="66">
        <f>C284/SUM($E$8:E284)*SUM($F$8:F284)</f>
        <v>-176033.52062768771</v>
      </c>
      <c r="I284" s="66">
        <f>C284/SUM($E$8:E284)*SUM($G$8:G284)</f>
        <v>-2097946.4493723121</v>
      </c>
    </row>
    <row r="285" spans="2:9">
      <c r="B285" s="67">
        <f t="shared" si="23"/>
        <v>42829</v>
      </c>
      <c r="C285" s="64">
        <f t="shared" si="20"/>
        <v>93649.080000000016</v>
      </c>
      <c r="D285" s="69">
        <v>176026.76</v>
      </c>
      <c r="E285" s="68">
        <f t="shared" si="22"/>
        <v>82377.679999999993</v>
      </c>
      <c r="F285" s="64">
        <f t="shared" si="21"/>
        <v>0</v>
      </c>
      <c r="G285" s="68">
        <f t="shared" si="24"/>
        <v>82377.679999999993</v>
      </c>
      <c r="H285" s="66">
        <f>C285/SUM($E$8:E285)*SUM($F$8:F285)</f>
        <v>7243.6902552919018</v>
      </c>
      <c r="I285" s="66">
        <f>C285/SUM($E$8:E285)*SUM($G$8:G285)</f>
        <v>86405.389744708111</v>
      </c>
    </row>
    <row r="286" spans="2:9">
      <c r="B286" s="67">
        <f t="shared" si="23"/>
        <v>42830</v>
      </c>
      <c r="C286" s="64">
        <f t="shared" si="20"/>
        <v>3730960.26</v>
      </c>
      <c r="D286" s="69">
        <v>626270.18999999994</v>
      </c>
      <c r="E286" s="68">
        <f t="shared" si="22"/>
        <v>-3104690.07</v>
      </c>
      <c r="F286" s="64">
        <f t="shared" si="21"/>
        <v>-8980149.5999999996</v>
      </c>
      <c r="G286" s="68">
        <f t="shared" si="24"/>
        <v>5875459.5299999993</v>
      </c>
      <c r="H286" s="66">
        <f>C286/SUM($E$8:E286)*SUM($F$8:F286)</f>
        <v>-42590.280406470265</v>
      </c>
      <c r="I286" s="66">
        <f>C286/SUM($E$8:E286)*SUM($G$8:G286)</f>
        <v>3773550.5404064697</v>
      </c>
    </row>
    <row r="287" spans="2:9">
      <c r="B287" s="67">
        <f t="shared" si="23"/>
        <v>42831</v>
      </c>
      <c r="C287" s="64">
        <f t="shared" si="20"/>
        <v>-62541.559999999983</v>
      </c>
      <c r="D287" s="69">
        <v>594417.07999999996</v>
      </c>
      <c r="E287" s="68">
        <f t="shared" si="22"/>
        <v>656958.6399999999</v>
      </c>
      <c r="F287" s="64">
        <f t="shared" si="21"/>
        <v>-224704.24</v>
      </c>
      <c r="G287" s="68">
        <f t="shared" si="24"/>
        <v>881662.87999999989</v>
      </c>
      <c r="H287" s="66">
        <f>C287/SUM($E$8:E287)*SUM($F$8:F287)</f>
        <v>850.98470816761278</v>
      </c>
      <c r="I287" s="66">
        <f>C287/SUM($E$8:E287)*SUM($G$8:G287)</f>
        <v>-63392.544708167581</v>
      </c>
    </row>
    <row r="288" spans="2:9">
      <c r="B288" s="67">
        <f t="shared" si="23"/>
        <v>42832</v>
      </c>
      <c r="C288" s="64">
        <f t="shared" si="20"/>
        <v>7312453.9499999993</v>
      </c>
      <c r="D288" s="69">
        <v>311154.78999999998</v>
      </c>
      <c r="E288" s="68">
        <f t="shared" si="22"/>
        <v>-7001299.1599999992</v>
      </c>
      <c r="F288" s="64">
        <f t="shared" si="21"/>
        <v>108694.9</v>
      </c>
      <c r="G288" s="68">
        <f t="shared" si="24"/>
        <v>-7109994.0599999996</v>
      </c>
      <c r="H288" s="66">
        <f>C288/SUM($E$8:E288)*SUM($F$8:F288)</f>
        <v>-98432.311563619543</v>
      </c>
      <c r="I288" s="66">
        <f>C288/SUM($E$8:E288)*SUM($G$8:G288)</f>
        <v>7410886.2615636168</v>
      </c>
    </row>
    <row r="289" spans="2:9">
      <c r="B289" s="67">
        <f t="shared" si="23"/>
        <v>42833</v>
      </c>
      <c r="C289" s="64">
        <f t="shared" si="20"/>
        <v>0</v>
      </c>
      <c r="D289" s="69">
        <v>360320.68</v>
      </c>
      <c r="E289" s="68">
        <f t="shared" si="22"/>
        <v>360320.68</v>
      </c>
      <c r="F289" s="64">
        <f t="shared" si="21"/>
        <v>0</v>
      </c>
      <c r="G289" s="68">
        <f t="shared" si="24"/>
        <v>360320.68</v>
      </c>
      <c r="H289" s="66">
        <f>C289/SUM($E$8:E289)*SUM($F$8:F289)</f>
        <v>0</v>
      </c>
      <c r="I289" s="66">
        <f>C289/SUM($E$8:E289)*SUM($G$8:G289)</f>
        <v>0</v>
      </c>
    </row>
    <row r="290" spans="2:9">
      <c r="B290" s="67">
        <f t="shared" si="23"/>
        <v>42834</v>
      </c>
      <c r="C290" s="64">
        <f t="shared" si="20"/>
        <v>0</v>
      </c>
      <c r="D290" s="69">
        <v>360400.11</v>
      </c>
      <c r="E290" s="68">
        <f t="shared" si="22"/>
        <v>360400.11</v>
      </c>
      <c r="F290" s="64">
        <f t="shared" si="21"/>
        <v>0</v>
      </c>
      <c r="G290" s="68">
        <f t="shared" si="24"/>
        <v>360400.11</v>
      </c>
      <c r="H290" s="66">
        <f>C290/SUM($E$8:E290)*SUM($F$8:F290)</f>
        <v>0</v>
      </c>
      <c r="I290" s="66">
        <f>C290/SUM($E$8:E290)*SUM($G$8:G290)</f>
        <v>0</v>
      </c>
    </row>
    <row r="291" spans="2:9">
      <c r="B291" s="67">
        <f t="shared" si="23"/>
        <v>42835</v>
      </c>
      <c r="C291" s="64">
        <f t="shared" si="20"/>
        <v>-332725.75999999995</v>
      </c>
      <c r="D291" s="69">
        <v>289623.56</v>
      </c>
      <c r="E291" s="68">
        <f t="shared" si="22"/>
        <v>622349.31999999995</v>
      </c>
      <c r="F291" s="64">
        <f t="shared" si="21"/>
        <v>1577689.03</v>
      </c>
      <c r="G291" s="68">
        <f t="shared" si="24"/>
        <v>-955339.71000000008</v>
      </c>
      <c r="H291" s="66">
        <f>C291/SUM($E$8:E291)*SUM($F$8:F291)</f>
        <v>-1202.1965765620821</v>
      </c>
      <c r="I291" s="66">
        <f>C291/SUM($E$8:E291)*SUM($G$8:G291)</f>
        <v>-331523.56342343782</v>
      </c>
    </row>
    <row r="292" spans="2:9">
      <c r="B292" s="67">
        <f t="shared" si="23"/>
        <v>42836</v>
      </c>
      <c r="C292" s="64">
        <f t="shared" si="20"/>
        <v>-1919666.7199999997</v>
      </c>
      <c r="D292" s="69">
        <v>467463.66</v>
      </c>
      <c r="E292" s="68">
        <f t="shared" si="22"/>
        <v>2387130.38</v>
      </c>
      <c r="F292" s="64">
        <f t="shared" si="21"/>
        <v>87097.79</v>
      </c>
      <c r="G292" s="68">
        <f t="shared" si="24"/>
        <v>2300032.59</v>
      </c>
      <c r="H292" s="66">
        <f>C292/SUM($E$8:E292)*SUM($F$8:F292)</f>
        <v>-8507.753849869523</v>
      </c>
      <c r="I292" s="66">
        <f>C292/SUM($E$8:E292)*SUM($G$8:G292)</f>
        <v>-1911158.9661501301</v>
      </c>
    </row>
    <row r="293" spans="2:9">
      <c r="B293" s="67">
        <f t="shared" si="23"/>
        <v>42837</v>
      </c>
      <c r="C293" s="64">
        <f t="shared" si="20"/>
        <v>-967327.46</v>
      </c>
      <c r="D293" s="69">
        <v>289553.94</v>
      </c>
      <c r="E293" s="68">
        <f t="shared" si="22"/>
        <v>1256881.3999999999</v>
      </c>
      <c r="F293" s="64">
        <f t="shared" si="21"/>
        <v>-38855</v>
      </c>
      <c r="G293" s="68">
        <f t="shared" si="24"/>
        <v>1295736.3999999999</v>
      </c>
      <c r="H293" s="66">
        <f>C293/SUM($E$8:E293)*SUM($F$8:F293)</f>
        <v>-3844.5411961917985</v>
      </c>
      <c r="I293" s="66">
        <f>C293/SUM($E$8:E293)*SUM($G$8:G293)</f>
        <v>-963482.91880380816</v>
      </c>
    </row>
    <row r="294" spans="2:9">
      <c r="B294" s="67">
        <f t="shared" si="23"/>
        <v>42838</v>
      </c>
      <c r="C294" s="64">
        <f t="shared" si="20"/>
        <v>43326.320000000022</v>
      </c>
      <c r="D294" s="69">
        <v>581438.03</v>
      </c>
      <c r="E294" s="68">
        <f t="shared" si="22"/>
        <v>538111.71</v>
      </c>
      <c r="F294" s="64">
        <f t="shared" si="21"/>
        <v>721171.9</v>
      </c>
      <c r="G294" s="68">
        <f t="shared" si="24"/>
        <v>-183060.19000000006</v>
      </c>
      <c r="H294" s="66">
        <f>C294/SUM($E$8:E294)*SUM($F$8:F294)</f>
        <v>491.24490999745831</v>
      </c>
      <c r="I294" s="66">
        <f>C294/SUM($E$8:E294)*SUM($G$8:G294)</f>
        <v>42835.075090002567</v>
      </c>
    </row>
    <row r="295" spans="2:9">
      <c r="B295" s="67">
        <f t="shared" si="23"/>
        <v>42839</v>
      </c>
      <c r="C295" s="64">
        <f t="shared" si="20"/>
        <v>14760.219999999972</v>
      </c>
      <c r="D295" s="69">
        <v>348479.72</v>
      </c>
      <c r="E295" s="68">
        <f t="shared" si="22"/>
        <v>333719.5</v>
      </c>
      <c r="F295" s="64">
        <f t="shared" si="21"/>
        <v>0</v>
      </c>
      <c r="G295" s="68">
        <f t="shared" si="24"/>
        <v>333719.5</v>
      </c>
      <c r="H295" s="66">
        <f>C295/SUM($E$8:E295)*SUM($F$8:F295)</f>
        <v>166.78512661209786</v>
      </c>
      <c r="I295" s="66">
        <f>C295/SUM($E$8:E295)*SUM($G$8:G295)</f>
        <v>14593.434873387876</v>
      </c>
    </row>
    <row r="296" spans="2:9">
      <c r="B296" s="67">
        <f t="shared" si="23"/>
        <v>42840</v>
      </c>
      <c r="C296" s="64">
        <f t="shared" si="20"/>
        <v>0</v>
      </c>
      <c r="D296" s="69">
        <v>346248.83</v>
      </c>
      <c r="E296" s="68">
        <f t="shared" si="22"/>
        <v>346248.83</v>
      </c>
      <c r="F296" s="64">
        <f t="shared" si="21"/>
        <v>0</v>
      </c>
      <c r="G296" s="68">
        <f t="shared" si="24"/>
        <v>346248.83</v>
      </c>
      <c r="H296" s="66">
        <f>C296/SUM($E$8:E296)*SUM($F$8:F296)</f>
        <v>0</v>
      </c>
      <c r="I296" s="66">
        <f>C296/SUM($E$8:E296)*SUM($G$8:G296)</f>
        <v>0</v>
      </c>
    </row>
    <row r="297" spans="2:9">
      <c r="B297" s="67">
        <f t="shared" si="23"/>
        <v>42841</v>
      </c>
      <c r="C297" s="64">
        <f t="shared" si="20"/>
        <v>0</v>
      </c>
      <c r="D297" s="69">
        <v>355435.29</v>
      </c>
      <c r="E297" s="68">
        <f t="shared" si="22"/>
        <v>355435.29</v>
      </c>
      <c r="F297" s="64">
        <f t="shared" si="21"/>
        <v>0</v>
      </c>
      <c r="G297" s="68">
        <f t="shared" si="24"/>
        <v>355435.29</v>
      </c>
      <c r="H297" s="66">
        <f>C297/SUM($E$8:E297)*SUM($F$8:F297)</f>
        <v>0</v>
      </c>
      <c r="I297" s="66">
        <f>C297/SUM($E$8:E297)*SUM($G$8:G297)</f>
        <v>0</v>
      </c>
    </row>
    <row r="298" spans="2:9">
      <c r="B298" s="67">
        <f t="shared" si="23"/>
        <v>42842</v>
      </c>
      <c r="C298" s="64">
        <f t="shared" si="20"/>
        <v>128861.40000000001</v>
      </c>
      <c r="D298" s="69">
        <v>462617.77</v>
      </c>
      <c r="E298" s="68">
        <f t="shared" si="22"/>
        <v>333756.37</v>
      </c>
      <c r="F298" s="64">
        <f t="shared" si="21"/>
        <v>-35493.1</v>
      </c>
      <c r="G298" s="68">
        <f t="shared" si="24"/>
        <v>369249.47</v>
      </c>
      <c r="H298" s="66">
        <f>C298/SUM($E$8:E298)*SUM($F$8:F298)</f>
        <v>1394.6667874827099</v>
      </c>
      <c r="I298" s="66">
        <f>C298/SUM($E$8:E298)*SUM($G$8:G298)</f>
        <v>127466.7332125173</v>
      </c>
    </row>
    <row r="299" spans="2:9">
      <c r="B299" s="67">
        <f t="shared" si="23"/>
        <v>42843</v>
      </c>
      <c r="C299" s="64">
        <f t="shared" si="20"/>
        <v>-1080432.169999999</v>
      </c>
      <c r="D299" s="69">
        <v>357532.52</v>
      </c>
      <c r="E299" s="68">
        <f t="shared" si="22"/>
        <v>1437964.689999999</v>
      </c>
      <c r="F299" s="64">
        <f t="shared" si="21"/>
        <v>442637.5</v>
      </c>
      <c r="G299" s="68">
        <f t="shared" si="24"/>
        <v>995327.18999999901</v>
      </c>
      <c r="H299" s="66">
        <f>C299/SUM($E$8:E299)*SUM($F$8:F299)</f>
        <v>-16287.065544708134</v>
      </c>
      <c r="I299" s="66">
        <f>C299/SUM($E$8:E299)*SUM($G$8:G299)</f>
        <v>-1064145.1044552911</v>
      </c>
    </row>
    <row r="300" spans="2:9">
      <c r="B300" s="67">
        <f t="shared" si="23"/>
        <v>42844</v>
      </c>
      <c r="C300" s="64">
        <f t="shared" si="20"/>
        <v>-5231416.5699999994</v>
      </c>
      <c r="D300" s="69">
        <v>488500.57</v>
      </c>
      <c r="E300" s="68">
        <f t="shared" si="22"/>
        <v>5719917.1399999997</v>
      </c>
      <c r="F300" s="64">
        <f t="shared" si="21"/>
        <v>-2103236.02</v>
      </c>
      <c r="G300" s="68">
        <f t="shared" si="24"/>
        <v>7823153.1600000001</v>
      </c>
      <c r="H300" s="66">
        <f>C300/SUM($E$8:E300)*SUM($F$8:F300)</f>
        <v>29021.452796056135</v>
      </c>
      <c r="I300" s="66">
        <f>C300/SUM($E$8:E300)*SUM($G$8:G300)</f>
        <v>-5260438.0227960562</v>
      </c>
    </row>
    <row r="301" spans="2:9">
      <c r="B301" s="67">
        <f t="shared" si="23"/>
        <v>42845</v>
      </c>
      <c r="C301" s="64">
        <f t="shared" si="20"/>
        <v>357279.04000000004</v>
      </c>
      <c r="D301" s="69">
        <v>423715.71</v>
      </c>
      <c r="E301" s="68">
        <f t="shared" si="22"/>
        <v>66436.669999999984</v>
      </c>
      <c r="F301" s="64">
        <f t="shared" si="21"/>
        <v>-304941.92999999993</v>
      </c>
      <c r="G301" s="68">
        <f t="shared" si="24"/>
        <v>371378.59999999992</v>
      </c>
      <c r="H301" s="66">
        <f>C301/SUM($E$8:E301)*SUM($F$8:F301)</f>
        <v>-3006.3089320525773</v>
      </c>
      <c r="I301" s="66">
        <f>C301/SUM($E$8:E301)*SUM($G$8:G301)</f>
        <v>360285.34893205261</v>
      </c>
    </row>
    <row r="302" spans="2:9">
      <c r="B302" s="67">
        <f t="shared" si="23"/>
        <v>42846</v>
      </c>
      <c r="C302" s="64">
        <f t="shared" si="20"/>
        <v>-5328417.54</v>
      </c>
      <c r="D302" s="69">
        <v>370099.85</v>
      </c>
      <c r="E302" s="68">
        <f t="shared" si="22"/>
        <v>5698517.3899999997</v>
      </c>
      <c r="F302" s="64">
        <f t="shared" si="21"/>
        <v>-342762.34</v>
      </c>
      <c r="G302" s="68">
        <f t="shared" si="24"/>
        <v>6041279.7299999995</v>
      </c>
      <c r="H302" s="66">
        <f>C302/SUM($E$8:E302)*SUM($F$8:F302)</f>
        <v>58869.565996856982</v>
      </c>
      <c r="I302" s="66">
        <f>C302/SUM($E$8:E302)*SUM($G$8:G302)</f>
        <v>-5387287.1059968574</v>
      </c>
    </row>
    <row r="303" spans="2:9">
      <c r="B303" s="67">
        <f t="shared" si="23"/>
        <v>42847</v>
      </c>
      <c r="C303" s="64">
        <f t="shared" si="20"/>
        <v>0</v>
      </c>
      <c r="D303" s="69">
        <v>347357.27</v>
      </c>
      <c r="E303" s="68">
        <f t="shared" si="22"/>
        <v>347357.27</v>
      </c>
      <c r="F303" s="64">
        <f t="shared" si="21"/>
        <v>0</v>
      </c>
      <c r="G303" s="68">
        <f t="shared" si="24"/>
        <v>347357.27</v>
      </c>
      <c r="H303" s="66">
        <f>C303/SUM($E$8:E303)*SUM($F$8:F303)</f>
        <v>0</v>
      </c>
      <c r="I303" s="66">
        <f>C303/SUM($E$8:E303)*SUM($G$8:G303)</f>
        <v>0</v>
      </c>
    </row>
    <row r="304" spans="2:9">
      <c r="B304" s="67">
        <f t="shared" si="23"/>
        <v>42848</v>
      </c>
      <c r="C304" s="64">
        <f t="shared" si="20"/>
        <v>0</v>
      </c>
      <c r="D304" s="69">
        <v>347376.48</v>
      </c>
      <c r="E304" s="68">
        <f t="shared" si="22"/>
        <v>347376.48</v>
      </c>
      <c r="F304" s="64">
        <f t="shared" si="21"/>
        <v>0</v>
      </c>
      <c r="G304" s="68">
        <f t="shared" si="24"/>
        <v>347376.48</v>
      </c>
      <c r="H304" s="66">
        <f>C304/SUM($E$8:E304)*SUM($F$8:F304)</f>
        <v>0</v>
      </c>
      <c r="I304" s="66">
        <f>C304/SUM($E$8:E304)*SUM($G$8:G304)</f>
        <v>0</v>
      </c>
    </row>
    <row r="305" spans="2:9">
      <c r="B305" s="67">
        <f t="shared" si="23"/>
        <v>42849</v>
      </c>
      <c r="C305" s="64">
        <f t="shared" si="20"/>
        <v>3450240.6900000004</v>
      </c>
      <c r="D305" s="69">
        <v>350126.46</v>
      </c>
      <c r="E305" s="68">
        <f t="shared" si="22"/>
        <v>-3100114.2300000004</v>
      </c>
      <c r="F305" s="64">
        <f t="shared" si="21"/>
        <v>-263072.48</v>
      </c>
      <c r="G305" s="68">
        <f t="shared" si="24"/>
        <v>-2837041.7500000005</v>
      </c>
      <c r="H305" s="66">
        <f>C305/SUM($E$8:E305)*SUM($F$8:F305)</f>
        <v>-47243.054318667804</v>
      </c>
      <c r="I305" s="66">
        <f>C305/SUM($E$8:E305)*SUM($G$8:G305)</f>
        <v>3497483.7443186687</v>
      </c>
    </row>
    <row r="306" spans="2:9">
      <c r="B306" s="67">
        <f t="shared" si="23"/>
        <v>42850</v>
      </c>
      <c r="C306" s="64">
        <f t="shared" si="20"/>
        <v>-8259133.1600000001</v>
      </c>
      <c r="D306" s="69">
        <v>440022.13</v>
      </c>
      <c r="E306" s="68">
        <f t="shared" si="22"/>
        <v>8699155.290000001</v>
      </c>
      <c r="F306" s="64">
        <f t="shared" si="21"/>
        <v>1972.25</v>
      </c>
      <c r="G306" s="68">
        <f t="shared" si="24"/>
        <v>8697183.040000001</v>
      </c>
      <c r="H306" s="66">
        <f>C306/SUM($E$8:E306)*SUM($F$8:F306)</f>
        <v>104630.93053660047</v>
      </c>
      <c r="I306" s="66">
        <f>C306/SUM($E$8:E306)*SUM($G$8:G306)</f>
        <v>-8363764.0905366</v>
      </c>
    </row>
    <row r="307" spans="2:9">
      <c r="B307" s="67">
        <f t="shared" si="23"/>
        <v>42851</v>
      </c>
      <c r="C307" s="64">
        <f t="shared" si="20"/>
        <v>298395.36</v>
      </c>
      <c r="D307" s="69">
        <v>456016.17</v>
      </c>
      <c r="E307" s="68">
        <f t="shared" si="22"/>
        <v>157620.81</v>
      </c>
      <c r="F307" s="64">
        <f t="shared" si="21"/>
        <v>0</v>
      </c>
      <c r="G307" s="68">
        <f t="shared" si="24"/>
        <v>157620.81</v>
      </c>
      <c r="H307" s="66">
        <f>C307/SUM($E$8:E307)*SUM($F$8:F307)</f>
        <v>-3775.1922991339202</v>
      </c>
      <c r="I307" s="66">
        <f>C307/SUM($E$8:E307)*SUM($G$8:G307)</f>
        <v>302170.55229913391</v>
      </c>
    </row>
    <row r="308" spans="2:9">
      <c r="B308" s="67">
        <f t="shared" si="23"/>
        <v>42852</v>
      </c>
      <c r="C308" s="64">
        <f t="shared" si="20"/>
        <v>-104632.66999999998</v>
      </c>
      <c r="D308" s="69">
        <v>180274.25</v>
      </c>
      <c r="E308" s="68">
        <f t="shared" si="22"/>
        <v>284906.92</v>
      </c>
      <c r="F308" s="64">
        <f t="shared" si="21"/>
        <v>0</v>
      </c>
      <c r="G308" s="68">
        <f t="shared" si="24"/>
        <v>284906.92</v>
      </c>
      <c r="H308" s="66">
        <f>C308/SUM($E$8:E308)*SUM($F$8:F308)</f>
        <v>1320.5973272890287</v>
      </c>
      <c r="I308" s="66">
        <f>C308/SUM($E$8:E308)*SUM($G$8:G308)</f>
        <v>-105953.26732728901</v>
      </c>
    </row>
    <row r="309" spans="2:9">
      <c r="B309" s="67">
        <f t="shared" si="23"/>
        <v>42853</v>
      </c>
      <c r="C309" s="64">
        <f t="shared" si="20"/>
        <v>-207056.05000000002</v>
      </c>
      <c r="D309" s="69">
        <v>327910.21000000002</v>
      </c>
      <c r="E309" s="68">
        <f t="shared" si="22"/>
        <v>534966.26</v>
      </c>
      <c r="F309" s="64">
        <f t="shared" si="21"/>
        <v>0</v>
      </c>
      <c r="G309" s="68">
        <f t="shared" si="24"/>
        <v>534966.26</v>
      </c>
      <c r="H309" s="66">
        <f>C309/SUM($E$8:E309)*SUM($F$8:F309)</f>
        <v>2601.5828071978367</v>
      </c>
      <c r="I309" s="66">
        <f>C309/SUM($E$8:E309)*SUM($G$8:G309)</f>
        <v>-209657.63280719784</v>
      </c>
    </row>
    <row r="310" spans="2:9">
      <c r="B310" s="67">
        <f t="shared" si="23"/>
        <v>42854</v>
      </c>
      <c r="C310" s="64">
        <f t="shared" si="20"/>
        <v>0</v>
      </c>
      <c r="D310" s="69">
        <v>306818.65999999997</v>
      </c>
      <c r="E310" s="68">
        <f t="shared" si="22"/>
        <v>306818.65999999997</v>
      </c>
      <c r="F310" s="64">
        <f t="shared" si="21"/>
        <v>0</v>
      </c>
      <c r="G310" s="68">
        <f t="shared" si="24"/>
        <v>306818.65999999997</v>
      </c>
      <c r="H310" s="66">
        <f>C310/SUM($E$8:E310)*SUM($F$8:F310)</f>
        <v>0</v>
      </c>
      <c r="I310" s="66">
        <f>C310/SUM($E$8:E310)*SUM($G$8:G310)</f>
        <v>0</v>
      </c>
    </row>
    <row r="311" spans="2:9">
      <c r="B311" s="67">
        <f t="shared" si="23"/>
        <v>42855</v>
      </c>
      <c r="C311" s="64">
        <f t="shared" si="20"/>
        <v>0</v>
      </c>
      <c r="D311" s="69">
        <v>306838.03999999998</v>
      </c>
      <c r="E311" s="68">
        <f t="shared" si="22"/>
        <v>306838.03999999998</v>
      </c>
      <c r="F311" s="64">
        <f t="shared" si="21"/>
        <v>0</v>
      </c>
      <c r="G311" s="68">
        <f t="shared" si="24"/>
        <v>306838.03999999998</v>
      </c>
      <c r="H311" s="66">
        <f>C311/SUM($E$8:E311)*SUM($F$8:F311)</f>
        <v>0</v>
      </c>
      <c r="I311" s="66">
        <f>C311/SUM($E$8:E311)*SUM($G$8:G311)</f>
        <v>0</v>
      </c>
    </row>
    <row r="312" spans="2:9">
      <c r="B312" s="67">
        <f t="shared" si="23"/>
        <v>42856</v>
      </c>
      <c r="C312" s="64">
        <f t="shared" si="20"/>
        <v>0</v>
      </c>
      <c r="D312" s="69">
        <v>306794.99</v>
      </c>
      <c r="E312" s="68">
        <f t="shared" si="22"/>
        <v>306794.99</v>
      </c>
      <c r="F312" s="64">
        <f t="shared" si="21"/>
        <v>0</v>
      </c>
      <c r="G312" s="68">
        <f t="shared" si="24"/>
        <v>306794.99</v>
      </c>
      <c r="H312" s="66">
        <f>C312/SUM($E$8:E312)*SUM($F$8:F312)</f>
        <v>0</v>
      </c>
      <c r="I312" s="66">
        <f>C312/SUM($E$8:E312)*SUM($G$8:G312)</f>
        <v>0</v>
      </c>
    </row>
    <row r="313" spans="2:9">
      <c r="B313" s="67">
        <f t="shared" si="23"/>
        <v>42857</v>
      </c>
      <c r="C313" s="64">
        <f t="shared" si="20"/>
        <v>-257508.46000000002</v>
      </c>
      <c r="D313" s="69">
        <v>395382.8</v>
      </c>
      <c r="E313" s="68">
        <f t="shared" si="22"/>
        <v>652891.26</v>
      </c>
      <c r="F313" s="64">
        <f t="shared" si="21"/>
        <v>-53735</v>
      </c>
      <c r="G313" s="68">
        <f t="shared" si="24"/>
        <v>706626.26</v>
      </c>
      <c r="H313" s="66">
        <f>C313/SUM($E$8:E313)*SUM($F$8:F313)</f>
        <v>3307.9168219070366</v>
      </c>
      <c r="I313" s="66">
        <f>C313/SUM($E$8:E313)*SUM($G$8:G313)</f>
        <v>-260816.37682190709</v>
      </c>
    </row>
    <row r="314" spans="2:9">
      <c r="B314" s="67">
        <f t="shared" si="23"/>
        <v>42858</v>
      </c>
      <c r="C314" s="64">
        <f t="shared" si="20"/>
        <v>822969.41000000015</v>
      </c>
      <c r="D314" s="69">
        <v>442136.32000000001</v>
      </c>
      <c r="E314" s="68">
        <f t="shared" si="22"/>
        <v>-380833.09000000014</v>
      </c>
      <c r="F314" s="64">
        <f t="shared" si="21"/>
        <v>0</v>
      </c>
      <c r="G314" s="68">
        <f t="shared" si="24"/>
        <v>-380833.09000000014</v>
      </c>
      <c r="H314" s="66">
        <f>C314/SUM($E$8:E314)*SUM($F$8:F314)</f>
        <v>-10605.186584669402</v>
      </c>
      <c r="I314" s="66">
        <f>C314/SUM($E$8:E314)*SUM($G$8:G314)</f>
        <v>833574.59658466955</v>
      </c>
    </row>
    <row r="315" spans="2:9">
      <c r="B315" s="67">
        <f t="shared" si="23"/>
        <v>42859</v>
      </c>
      <c r="C315" s="64">
        <f t="shared" si="20"/>
        <v>-160577.32</v>
      </c>
      <c r="D315" s="69">
        <v>319990.26</v>
      </c>
      <c r="E315" s="68">
        <f t="shared" si="22"/>
        <v>480567.58</v>
      </c>
      <c r="F315" s="64">
        <f t="shared" si="21"/>
        <v>0</v>
      </c>
      <c r="G315" s="68">
        <f t="shared" si="24"/>
        <v>480567.58</v>
      </c>
      <c r="H315" s="66">
        <f>C315/SUM($E$8:E315)*SUM($F$8:F315)</f>
        <v>2061.0513520259601</v>
      </c>
      <c r="I315" s="66">
        <f>C315/SUM($E$8:E315)*SUM($G$8:G315)</f>
        <v>-162638.37135202595</v>
      </c>
    </row>
    <row r="316" spans="2:9">
      <c r="B316" s="67">
        <f t="shared" si="23"/>
        <v>42860</v>
      </c>
      <c r="C316" s="64">
        <f t="shared" si="20"/>
        <v>3799844.0900000003</v>
      </c>
      <c r="D316" s="69">
        <v>265131.57</v>
      </c>
      <c r="E316" s="68">
        <f t="shared" si="22"/>
        <v>-3534712.5200000005</v>
      </c>
      <c r="F316" s="64">
        <f t="shared" si="21"/>
        <v>0</v>
      </c>
      <c r="G316" s="68">
        <f t="shared" si="24"/>
        <v>-3534712.5200000005</v>
      </c>
      <c r="H316" s="66">
        <f>C316/SUM($E$8:E316)*SUM($F$8:F316)</f>
        <v>-50241.106926191467</v>
      </c>
      <c r="I316" s="66">
        <f>C316/SUM($E$8:E316)*SUM($G$8:G316)</f>
        <v>3850085.1969261919</v>
      </c>
    </row>
    <row r="317" spans="2:9">
      <c r="B317" s="67">
        <f t="shared" si="23"/>
        <v>42861</v>
      </c>
      <c r="C317" s="64">
        <f t="shared" si="20"/>
        <v>0</v>
      </c>
      <c r="D317" s="69">
        <v>347323.01</v>
      </c>
      <c r="E317" s="68">
        <f t="shared" si="22"/>
        <v>347323.01</v>
      </c>
      <c r="F317" s="64">
        <f t="shared" si="21"/>
        <v>0</v>
      </c>
      <c r="G317" s="68">
        <f t="shared" si="24"/>
        <v>347323.01</v>
      </c>
      <c r="H317" s="66">
        <f>C317/SUM($E$8:E317)*SUM($F$8:F317)</f>
        <v>0</v>
      </c>
      <c r="I317" s="66">
        <f>C317/SUM($E$8:E317)*SUM($G$8:G317)</f>
        <v>0</v>
      </c>
    </row>
    <row r="318" spans="2:9">
      <c r="B318" s="67">
        <f t="shared" si="23"/>
        <v>42862</v>
      </c>
      <c r="C318" s="64">
        <f t="shared" si="20"/>
        <v>0</v>
      </c>
      <c r="D318" s="69">
        <v>347258.81</v>
      </c>
      <c r="E318" s="68">
        <f t="shared" si="22"/>
        <v>347258.81</v>
      </c>
      <c r="F318" s="64">
        <f t="shared" si="21"/>
        <v>0</v>
      </c>
      <c r="G318" s="68">
        <f t="shared" si="24"/>
        <v>347258.81</v>
      </c>
      <c r="H318" s="66">
        <f>C318/SUM($E$8:E318)*SUM($F$8:F318)</f>
        <v>0</v>
      </c>
      <c r="I318" s="66">
        <f>C318/SUM($E$8:E318)*SUM($G$8:G318)</f>
        <v>0</v>
      </c>
    </row>
    <row r="319" spans="2:9">
      <c r="B319" s="67">
        <f t="shared" si="23"/>
        <v>42863</v>
      </c>
      <c r="C319" s="64">
        <f t="shared" si="20"/>
        <v>160399.15000000002</v>
      </c>
      <c r="D319" s="69">
        <v>638689.18000000005</v>
      </c>
      <c r="E319" s="68">
        <f t="shared" si="22"/>
        <v>478290.03</v>
      </c>
      <c r="F319" s="64">
        <f t="shared" si="21"/>
        <v>0</v>
      </c>
      <c r="G319" s="68">
        <f t="shared" si="24"/>
        <v>478290.03</v>
      </c>
      <c r="H319" s="66">
        <f>C319/SUM($E$8:E319)*SUM($F$8:F319)</f>
        <v>-2099.7917930361114</v>
      </c>
      <c r="I319" s="66">
        <f>C319/SUM($E$8:E319)*SUM($G$8:G319)</f>
        <v>162498.94179303612</v>
      </c>
    </row>
    <row r="320" spans="2:9">
      <c r="B320" s="67">
        <f t="shared" si="23"/>
        <v>42864</v>
      </c>
      <c r="C320" s="64">
        <f t="shared" si="20"/>
        <v>-2598157</v>
      </c>
      <c r="D320" s="69">
        <v>340697.63</v>
      </c>
      <c r="E320" s="68">
        <f t="shared" si="22"/>
        <v>2938854.63</v>
      </c>
      <c r="F320" s="64">
        <f t="shared" si="21"/>
        <v>0</v>
      </c>
      <c r="G320" s="68">
        <f t="shared" si="24"/>
        <v>2938854.63</v>
      </c>
      <c r="H320" s="66">
        <f>C320/SUM($E$8:E320)*SUM($F$8:F320)</f>
        <v>33189.586909877224</v>
      </c>
      <c r="I320" s="66">
        <f>C320/SUM($E$8:E320)*SUM($G$8:G320)</f>
        <v>-2631346.5869098771</v>
      </c>
    </row>
    <row r="321" spans="2:9">
      <c r="B321" s="67">
        <f t="shared" si="23"/>
        <v>42865</v>
      </c>
      <c r="C321" s="64">
        <f t="shared" si="20"/>
        <v>-189333.02</v>
      </c>
      <c r="D321" s="69">
        <v>211501.42</v>
      </c>
      <c r="E321" s="68">
        <f t="shared" si="22"/>
        <v>400834.44</v>
      </c>
      <c r="F321" s="64">
        <f t="shared" si="21"/>
        <v>0</v>
      </c>
      <c r="G321" s="68">
        <f t="shared" si="24"/>
        <v>400834.44</v>
      </c>
      <c r="H321" s="66">
        <f>C321/SUM($E$8:E321)*SUM($F$8:F321)</f>
        <v>2410.6375141243802</v>
      </c>
      <c r="I321" s="66">
        <f>C321/SUM($E$8:E321)*SUM($G$8:G321)</f>
        <v>-191743.65751412435</v>
      </c>
    </row>
    <row r="322" spans="2:9">
      <c r="B322" s="67">
        <f t="shared" si="23"/>
        <v>42866</v>
      </c>
      <c r="C322" s="64">
        <f t="shared" si="20"/>
        <v>115731.23000000001</v>
      </c>
      <c r="D322" s="69">
        <v>469292.36</v>
      </c>
      <c r="E322" s="68">
        <f t="shared" si="22"/>
        <v>353561.13</v>
      </c>
      <c r="F322" s="64">
        <f t="shared" si="21"/>
        <v>-821</v>
      </c>
      <c r="G322" s="68">
        <f t="shared" si="24"/>
        <v>354382.13</v>
      </c>
      <c r="H322" s="66">
        <f>C322/SUM($E$8:E322)*SUM($F$8:F322)</f>
        <v>-1470.0348057756862</v>
      </c>
      <c r="I322" s="66">
        <f>C322/SUM($E$8:E322)*SUM($G$8:G322)</f>
        <v>117201.26480577569</v>
      </c>
    </row>
    <row r="323" spans="2:9">
      <c r="B323" s="67">
        <f t="shared" si="23"/>
        <v>42867</v>
      </c>
      <c r="C323" s="64">
        <f t="shared" si="20"/>
        <v>-883150.16999999993</v>
      </c>
      <c r="D323" s="69">
        <v>334259.75</v>
      </c>
      <c r="E323" s="68">
        <f t="shared" si="22"/>
        <v>1217409.92</v>
      </c>
      <c r="F323" s="64">
        <f t="shared" si="21"/>
        <v>272957.25</v>
      </c>
      <c r="G323" s="68">
        <f t="shared" si="24"/>
        <v>944452.66999999993</v>
      </c>
      <c r="H323" s="66">
        <f>C323/SUM($E$8:E323)*SUM($F$8:F323)</f>
        <v>9154.206860454211</v>
      </c>
      <c r="I323" s="66">
        <f>C323/SUM($E$8:E323)*SUM($G$8:G323)</f>
        <v>-892304.3768604541</v>
      </c>
    </row>
    <row r="324" spans="2:9">
      <c r="B324" s="67">
        <f t="shared" si="23"/>
        <v>42868</v>
      </c>
      <c r="C324" s="64">
        <f t="shared" si="20"/>
        <v>0</v>
      </c>
      <c r="D324" s="69">
        <v>324962.84000000003</v>
      </c>
      <c r="E324" s="68">
        <f t="shared" si="22"/>
        <v>324962.84000000003</v>
      </c>
      <c r="F324" s="64">
        <f t="shared" si="21"/>
        <v>0</v>
      </c>
      <c r="G324" s="68">
        <f t="shared" si="24"/>
        <v>324962.84000000003</v>
      </c>
      <c r="H324" s="66">
        <f>C324/SUM($E$8:E324)*SUM($F$8:F324)</f>
        <v>0</v>
      </c>
      <c r="I324" s="66">
        <f>C324/SUM($E$8:E324)*SUM($G$8:G324)</f>
        <v>0</v>
      </c>
    </row>
    <row r="325" spans="2:9">
      <c r="B325" s="67">
        <f t="shared" si="23"/>
        <v>42869</v>
      </c>
      <c r="C325" s="64">
        <f t="shared" si="20"/>
        <v>0</v>
      </c>
      <c r="D325" s="69">
        <v>319027.34000000003</v>
      </c>
      <c r="E325" s="68">
        <f t="shared" si="22"/>
        <v>319027.34000000003</v>
      </c>
      <c r="F325" s="64">
        <f t="shared" si="21"/>
        <v>0</v>
      </c>
      <c r="G325" s="68">
        <f t="shared" si="24"/>
        <v>319027.34000000003</v>
      </c>
      <c r="H325" s="66">
        <f>C325/SUM($E$8:E325)*SUM($F$8:F325)</f>
        <v>0</v>
      </c>
      <c r="I325" s="66">
        <f>C325/SUM($E$8:E325)*SUM($G$8:G325)</f>
        <v>0</v>
      </c>
    </row>
    <row r="326" spans="2:9">
      <c r="B326" s="67">
        <f t="shared" si="23"/>
        <v>42870</v>
      </c>
      <c r="C326" s="64">
        <f t="shared" si="20"/>
        <v>-124508.32</v>
      </c>
      <c r="D326" s="69">
        <v>172331.81</v>
      </c>
      <c r="E326" s="68">
        <f t="shared" si="22"/>
        <v>296840.13</v>
      </c>
      <c r="F326" s="64">
        <f t="shared" si="21"/>
        <v>806372.41999999993</v>
      </c>
      <c r="G326" s="68">
        <f t="shared" si="24"/>
        <v>-509532.28999999992</v>
      </c>
      <c r="H326" s="66">
        <f>C326/SUM($E$8:E326)*SUM($F$8:F326)</f>
        <v>473.54336412861932</v>
      </c>
      <c r="I326" s="66">
        <f>C326/SUM($E$8:E326)*SUM($G$8:G326)</f>
        <v>-124981.86336412863</v>
      </c>
    </row>
    <row r="327" spans="2:9">
      <c r="B327" s="67">
        <f t="shared" si="23"/>
        <v>42871</v>
      </c>
      <c r="C327" s="64">
        <f t="shared" si="20"/>
        <v>-83710.92</v>
      </c>
      <c r="D327" s="69">
        <v>370951.67</v>
      </c>
      <c r="E327" s="68">
        <f t="shared" si="22"/>
        <v>454662.58999999997</v>
      </c>
      <c r="F327" s="64">
        <f t="shared" si="21"/>
        <v>1709.8</v>
      </c>
      <c r="G327" s="68">
        <f t="shared" si="24"/>
        <v>452952.79</v>
      </c>
      <c r="H327" s="66">
        <f>C327/SUM($E$8:E327)*SUM($F$8:F327)</f>
        <v>316.07201391588092</v>
      </c>
      <c r="I327" s="66">
        <f>C327/SUM($E$8:E327)*SUM($G$8:G327)</f>
        <v>-84026.992013915878</v>
      </c>
    </row>
    <row r="328" spans="2:9">
      <c r="B328" s="67">
        <f t="shared" si="23"/>
        <v>42872</v>
      </c>
      <c r="C328" s="64">
        <f t="shared" ref="C328:C372" si="25">SUMIF($D$377:$D$1380,B328,$E$377:$E$1380)</f>
        <v>625985.41999999993</v>
      </c>
      <c r="D328" s="69">
        <v>376431.19</v>
      </c>
      <c r="E328" s="68">
        <f t="shared" si="22"/>
        <v>-249554.22999999992</v>
      </c>
      <c r="F328" s="64">
        <f t="shared" ref="F328:F372" si="26">SUMIF($B$376:$B$747,B328,$C$376:$C$747)</f>
        <v>0</v>
      </c>
      <c r="G328" s="68">
        <f t="shared" si="24"/>
        <v>-249554.22999999992</v>
      </c>
      <c r="H328" s="66">
        <f>C328/SUM($E$8:E328)*SUM($F$8:F328)</f>
        <v>-2368.3030672559958</v>
      </c>
      <c r="I328" s="66">
        <f>C328/SUM($E$8:E328)*SUM($G$8:G328)</f>
        <v>628353.72306725592</v>
      </c>
    </row>
    <row r="329" spans="2:9">
      <c r="B329" s="67">
        <f t="shared" si="23"/>
        <v>42873</v>
      </c>
      <c r="C329" s="64">
        <f t="shared" si="25"/>
        <v>42552.01999999999</v>
      </c>
      <c r="D329" s="69">
        <v>380226.25</v>
      </c>
      <c r="E329" s="68">
        <f t="shared" ref="E329:E372" si="27">+D329-C329</f>
        <v>337674.23</v>
      </c>
      <c r="F329" s="64">
        <f t="shared" si="26"/>
        <v>0</v>
      </c>
      <c r="G329" s="68">
        <f t="shared" si="24"/>
        <v>337674.23</v>
      </c>
      <c r="H329" s="66">
        <f>C329/SUM($E$8:E329)*SUM($F$8:F329)</f>
        <v>-160.55270492665221</v>
      </c>
      <c r="I329" s="66">
        <f>C329/SUM($E$8:E329)*SUM($G$8:G329)</f>
        <v>42712.572704926642</v>
      </c>
    </row>
    <row r="330" spans="2:9">
      <c r="B330" s="67">
        <f t="shared" ref="B330:B372" si="28">+B329+1</f>
        <v>42874</v>
      </c>
      <c r="C330" s="64">
        <f t="shared" si="25"/>
        <v>11883.990000000005</v>
      </c>
      <c r="D330" s="69">
        <v>299248.63</v>
      </c>
      <c r="E330" s="68">
        <f t="shared" si="27"/>
        <v>287364.64</v>
      </c>
      <c r="F330" s="64">
        <f t="shared" si="26"/>
        <v>193.2</v>
      </c>
      <c r="G330" s="68">
        <f t="shared" ref="G330:G372" si="29">E330-F330</f>
        <v>287171.44</v>
      </c>
      <c r="H330" s="66">
        <f>C330/SUM($E$8:E330)*SUM($F$8:F330)</f>
        <v>-44.718136537079445</v>
      </c>
      <c r="I330" s="66">
        <f>C330/SUM($E$8:E330)*SUM($G$8:G330)</f>
        <v>11928.708136537083</v>
      </c>
    </row>
    <row r="331" spans="2:9">
      <c r="B331" s="67">
        <f t="shared" si="28"/>
        <v>42875</v>
      </c>
      <c r="C331" s="64">
        <f t="shared" si="25"/>
        <v>0</v>
      </c>
      <c r="D331" s="69">
        <v>301202.46000000002</v>
      </c>
      <c r="E331" s="68">
        <f t="shared" si="27"/>
        <v>301202.46000000002</v>
      </c>
      <c r="F331" s="64">
        <f t="shared" si="26"/>
        <v>0</v>
      </c>
      <c r="G331" s="68">
        <f t="shared" si="29"/>
        <v>301202.46000000002</v>
      </c>
      <c r="H331" s="66">
        <f>C331/SUM($E$8:E331)*SUM($F$8:F331)</f>
        <v>0</v>
      </c>
      <c r="I331" s="66">
        <f>C331/SUM($E$8:E331)*SUM($G$8:G331)</f>
        <v>0</v>
      </c>
    </row>
    <row r="332" spans="2:9">
      <c r="B332" s="67">
        <f t="shared" si="28"/>
        <v>42876</v>
      </c>
      <c r="C332" s="64">
        <f t="shared" si="25"/>
        <v>0</v>
      </c>
      <c r="D332" s="69">
        <v>301180.61</v>
      </c>
      <c r="E332" s="68">
        <f t="shared" si="27"/>
        <v>301180.61</v>
      </c>
      <c r="F332" s="64">
        <f t="shared" si="26"/>
        <v>0</v>
      </c>
      <c r="G332" s="68">
        <f t="shared" si="29"/>
        <v>301180.61</v>
      </c>
      <c r="H332" s="66">
        <f>C332/SUM($E$8:E332)*SUM($F$8:F332)</f>
        <v>0</v>
      </c>
      <c r="I332" s="66">
        <f>C332/SUM($E$8:E332)*SUM($G$8:G332)</f>
        <v>0</v>
      </c>
    </row>
    <row r="333" spans="2:9">
      <c r="B333" s="67">
        <f t="shared" si="28"/>
        <v>42877</v>
      </c>
      <c r="C333" s="64">
        <f t="shared" si="25"/>
        <v>-554158.02</v>
      </c>
      <c r="D333" s="69">
        <v>544733.6</v>
      </c>
      <c r="E333" s="68">
        <f t="shared" si="27"/>
        <v>1098891.6200000001</v>
      </c>
      <c r="F333" s="64">
        <f t="shared" si="26"/>
        <v>96665.35</v>
      </c>
      <c r="G333" s="68">
        <f t="shared" si="29"/>
        <v>1002226.2700000001</v>
      </c>
      <c r="H333" s="66">
        <f>C333/SUM($E$8:E333)*SUM($F$8:F333)</f>
        <v>1635.1561950208895</v>
      </c>
      <c r="I333" s="66">
        <f>C333/SUM($E$8:E333)*SUM($G$8:G333)</f>
        <v>-555793.17619502079</v>
      </c>
    </row>
    <row r="334" spans="2:9">
      <c r="B334" s="67">
        <f t="shared" si="28"/>
        <v>42878</v>
      </c>
      <c r="C334" s="64">
        <f t="shared" si="25"/>
        <v>-488480.30000000005</v>
      </c>
      <c r="D334" s="69">
        <v>697901.16</v>
      </c>
      <c r="E334" s="68">
        <f t="shared" si="27"/>
        <v>1186381.46</v>
      </c>
      <c r="F334" s="64">
        <f t="shared" si="26"/>
        <v>1615687.8099999998</v>
      </c>
      <c r="G334" s="68">
        <f t="shared" si="29"/>
        <v>-429306.34999999986</v>
      </c>
      <c r="H334" s="66">
        <f>C334/SUM($E$8:E334)*SUM($F$8:F334)</f>
        <v>-4733.659495148826</v>
      </c>
      <c r="I334" s="66">
        <f>C334/SUM($E$8:E334)*SUM($G$8:G334)</f>
        <v>-483746.64050485124</v>
      </c>
    </row>
    <row r="335" spans="2:9">
      <c r="B335" s="67">
        <f t="shared" si="28"/>
        <v>42879</v>
      </c>
      <c r="C335" s="64">
        <f t="shared" si="25"/>
        <v>17111.919999999995</v>
      </c>
      <c r="D335" s="69">
        <v>322648.23</v>
      </c>
      <c r="E335" s="68">
        <f t="shared" si="27"/>
        <v>305536.31</v>
      </c>
      <c r="F335" s="64">
        <f t="shared" si="26"/>
        <v>796431.47</v>
      </c>
      <c r="G335" s="68">
        <f t="shared" si="29"/>
        <v>-490895.16</v>
      </c>
      <c r="H335" s="66">
        <f>C335/SUM($E$8:E335)*SUM($F$8:F335)</f>
        <v>271.57655566121116</v>
      </c>
      <c r="I335" s="66">
        <f>C335/SUM($E$8:E335)*SUM($G$8:G335)</f>
        <v>16840.343444338785</v>
      </c>
    </row>
    <row r="336" spans="2:9">
      <c r="B336" s="67">
        <f t="shared" si="28"/>
        <v>42880</v>
      </c>
      <c r="C336" s="64">
        <f t="shared" si="25"/>
        <v>-585220.30000000016</v>
      </c>
      <c r="D336" s="69">
        <v>404740.06</v>
      </c>
      <c r="E336" s="68">
        <f t="shared" si="27"/>
        <v>989960.3600000001</v>
      </c>
      <c r="F336" s="64">
        <f t="shared" si="26"/>
        <v>234852.61</v>
      </c>
      <c r="G336" s="68">
        <f t="shared" si="29"/>
        <v>755107.75000000012</v>
      </c>
      <c r="H336" s="66">
        <f>C336/SUM($E$8:E336)*SUM($F$8:F336)</f>
        <v>-10279.014708885295</v>
      </c>
      <c r="I336" s="66">
        <f>C336/SUM($E$8:E336)*SUM($G$8:G336)</f>
        <v>-574941.28529111482</v>
      </c>
    </row>
    <row r="337" spans="2:9">
      <c r="B337" s="67">
        <f t="shared" si="28"/>
        <v>42881</v>
      </c>
      <c r="C337" s="64">
        <f t="shared" si="25"/>
        <v>184978.59999999998</v>
      </c>
      <c r="D337" s="69">
        <v>-32620.15</v>
      </c>
      <c r="E337" s="68">
        <f t="shared" si="27"/>
        <v>-217598.74999999997</v>
      </c>
      <c r="F337" s="64">
        <f t="shared" si="26"/>
        <v>0</v>
      </c>
      <c r="G337" s="68">
        <f t="shared" si="29"/>
        <v>-217598.74999999997</v>
      </c>
      <c r="H337" s="66">
        <f>C337/SUM($E$8:E337)*SUM($F$8:F337)</f>
        <v>3254.5025330573503</v>
      </c>
      <c r="I337" s="66">
        <f>C337/SUM($E$8:E337)*SUM($G$8:G337)</f>
        <v>181724.09746694262</v>
      </c>
    </row>
    <row r="338" spans="2:9">
      <c r="B338" s="67">
        <f t="shared" si="28"/>
        <v>42882</v>
      </c>
      <c r="C338" s="64">
        <f t="shared" si="25"/>
        <v>0</v>
      </c>
      <c r="D338" s="69">
        <v>137759.49</v>
      </c>
      <c r="E338" s="68">
        <f t="shared" si="27"/>
        <v>137759.49</v>
      </c>
      <c r="F338" s="64">
        <f t="shared" si="26"/>
        <v>0</v>
      </c>
      <c r="G338" s="68">
        <f t="shared" si="29"/>
        <v>137759.49</v>
      </c>
      <c r="H338" s="66">
        <f>C338/SUM($E$8:E338)*SUM($F$8:F338)</f>
        <v>0</v>
      </c>
      <c r="I338" s="66">
        <f>C338/SUM($E$8:E338)*SUM($G$8:G338)</f>
        <v>0</v>
      </c>
    </row>
    <row r="339" spans="2:9">
      <c r="B339" s="67">
        <f t="shared" si="28"/>
        <v>42883</v>
      </c>
      <c r="C339" s="64">
        <f t="shared" si="25"/>
        <v>0</v>
      </c>
      <c r="D339" s="69">
        <v>137739.04999999999</v>
      </c>
      <c r="E339" s="68">
        <f t="shared" si="27"/>
        <v>137739.04999999999</v>
      </c>
      <c r="F339" s="64">
        <f t="shared" si="26"/>
        <v>0</v>
      </c>
      <c r="G339" s="68">
        <f t="shared" si="29"/>
        <v>137739.04999999999</v>
      </c>
      <c r="H339" s="66">
        <f>C339/SUM($E$8:E339)*SUM($F$8:F339)</f>
        <v>0</v>
      </c>
      <c r="I339" s="66">
        <f>C339/SUM($E$8:E339)*SUM($G$8:G339)</f>
        <v>0</v>
      </c>
    </row>
    <row r="340" spans="2:9">
      <c r="B340" s="67">
        <f t="shared" si="28"/>
        <v>42884</v>
      </c>
      <c r="C340" s="64">
        <f t="shared" si="25"/>
        <v>0</v>
      </c>
      <c r="D340" s="69">
        <v>137737.70000000001</v>
      </c>
      <c r="E340" s="68">
        <f t="shared" si="27"/>
        <v>137737.70000000001</v>
      </c>
      <c r="F340" s="64">
        <f t="shared" si="26"/>
        <v>0</v>
      </c>
      <c r="G340" s="68">
        <f t="shared" si="29"/>
        <v>137737.70000000001</v>
      </c>
      <c r="H340" s="66">
        <f>C340/SUM($E$8:E340)*SUM($F$8:F340)</f>
        <v>0</v>
      </c>
      <c r="I340" s="66">
        <f>C340/SUM($E$8:E340)*SUM($G$8:G340)</f>
        <v>0</v>
      </c>
    </row>
    <row r="341" spans="2:9">
      <c r="B341" s="67">
        <f t="shared" si="28"/>
        <v>42885</v>
      </c>
      <c r="C341" s="64">
        <f t="shared" si="25"/>
        <v>-140012.12</v>
      </c>
      <c r="D341" s="69">
        <v>751342.67</v>
      </c>
      <c r="E341" s="68">
        <f t="shared" si="27"/>
        <v>891354.79</v>
      </c>
      <c r="F341" s="64">
        <f t="shared" si="26"/>
        <v>0</v>
      </c>
      <c r="G341" s="68">
        <f t="shared" si="29"/>
        <v>891354.79</v>
      </c>
      <c r="H341" s="66">
        <f>C341/SUM($E$8:E341)*SUM($F$8:F341)</f>
        <v>-2438.7333153769951</v>
      </c>
      <c r="I341" s="66">
        <f>C341/SUM($E$8:E341)*SUM($G$8:G341)</f>
        <v>-137573.38668462299</v>
      </c>
    </row>
    <row r="342" spans="2:9">
      <c r="B342" s="67">
        <f t="shared" si="28"/>
        <v>42886</v>
      </c>
      <c r="C342" s="64">
        <f t="shared" si="25"/>
        <v>1312495.67</v>
      </c>
      <c r="D342" s="69">
        <v>266949.39</v>
      </c>
      <c r="E342" s="68">
        <f t="shared" si="27"/>
        <v>-1045546.2799999999</v>
      </c>
      <c r="F342" s="64">
        <f t="shared" si="26"/>
        <v>0</v>
      </c>
      <c r="G342" s="68">
        <f t="shared" si="29"/>
        <v>-1045546.2799999999</v>
      </c>
      <c r="H342" s="66">
        <f>C342/SUM($E$8:E342)*SUM($F$8:F342)</f>
        <v>23045.752126027164</v>
      </c>
      <c r="I342" s="66">
        <f>C342/SUM($E$8:E342)*SUM($G$8:G342)</f>
        <v>1289449.9178739728</v>
      </c>
    </row>
    <row r="343" spans="2:9">
      <c r="B343" s="67">
        <f t="shared" si="28"/>
        <v>42887</v>
      </c>
      <c r="C343" s="64">
        <f t="shared" si="25"/>
        <v>-469560.92000000004</v>
      </c>
      <c r="D343" s="69">
        <v>133579.12</v>
      </c>
      <c r="E343" s="68">
        <f t="shared" si="27"/>
        <v>603140.04</v>
      </c>
      <c r="F343" s="64">
        <f t="shared" si="26"/>
        <v>0</v>
      </c>
      <c r="G343" s="68">
        <f t="shared" si="29"/>
        <v>603140.04</v>
      </c>
      <c r="H343" s="66">
        <f>C343/SUM($E$8:E343)*SUM($F$8:F343)</f>
        <v>-8206.6471964428692</v>
      </c>
      <c r="I343" s="66">
        <f>C343/SUM($E$8:E343)*SUM($G$8:G343)</f>
        <v>-461354.27280355716</v>
      </c>
    </row>
    <row r="344" spans="2:9">
      <c r="B344" s="67">
        <f t="shared" si="28"/>
        <v>42888</v>
      </c>
      <c r="C344" s="64">
        <f t="shared" si="25"/>
        <v>-1181910.45</v>
      </c>
      <c r="D344" s="69">
        <v>590732.82999999996</v>
      </c>
      <c r="E344" s="68">
        <f t="shared" si="27"/>
        <v>1772643.2799999998</v>
      </c>
      <c r="F344" s="64">
        <f t="shared" si="26"/>
        <v>-622715.92000000004</v>
      </c>
      <c r="G344" s="68">
        <f t="shared" si="29"/>
        <v>2395359.1999999997</v>
      </c>
      <c r="H344" s="66">
        <f>C344/SUM($E$8:E344)*SUM($F$8:F344)</f>
        <v>-14794.582908828788</v>
      </c>
      <c r="I344" s="66">
        <f>C344/SUM($E$8:E344)*SUM($G$8:G344)</f>
        <v>-1167115.8670911712</v>
      </c>
    </row>
    <row r="345" spans="2:9">
      <c r="B345" s="67">
        <f t="shared" si="28"/>
        <v>42889</v>
      </c>
      <c r="C345" s="64">
        <f t="shared" si="25"/>
        <v>0</v>
      </c>
      <c r="D345" s="69">
        <v>321008.67</v>
      </c>
      <c r="E345" s="68">
        <f t="shared" si="27"/>
        <v>321008.67</v>
      </c>
      <c r="F345" s="64">
        <f t="shared" si="26"/>
        <v>0</v>
      </c>
      <c r="G345" s="68">
        <f t="shared" si="29"/>
        <v>321008.67</v>
      </c>
      <c r="H345" s="66">
        <f>C345/SUM($E$8:E345)*SUM($F$8:F345)</f>
        <v>0</v>
      </c>
      <c r="I345" s="66">
        <f>C345/SUM($E$8:E345)*SUM($G$8:G345)</f>
        <v>0</v>
      </c>
    </row>
    <row r="346" spans="2:9">
      <c r="B346" s="67">
        <f t="shared" si="28"/>
        <v>42890</v>
      </c>
      <c r="C346" s="64">
        <f t="shared" si="25"/>
        <v>0</v>
      </c>
      <c r="D346" s="69">
        <v>320944.53999999998</v>
      </c>
      <c r="E346" s="68">
        <f t="shared" si="27"/>
        <v>320944.53999999998</v>
      </c>
      <c r="F346" s="64">
        <f t="shared" si="26"/>
        <v>0</v>
      </c>
      <c r="G346" s="68">
        <f t="shared" si="29"/>
        <v>320944.53999999998</v>
      </c>
      <c r="H346" s="66">
        <f>C346/SUM($E$8:E346)*SUM($F$8:F346)</f>
        <v>0</v>
      </c>
      <c r="I346" s="66">
        <f>C346/SUM($E$8:E346)*SUM($G$8:G346)</f>
        <v>0</v>
      </c>
    </row>
    <row r="347" spans="2:9">
      <c r="B347" s="67">
        <f t="shared" si="28"/>
        <v>42891</v>
      </c>
      <c r="C347" s="64">
        <f t="shared" si="25"/>
        <v>-639030.4</v>
      </c>
      <c r="D347" s="69">
        <v>462407.6</v>
      </c>
      <c r="E347" s="68">
        <f t="shared" si="27"/>
        <v>1101438</v>
      </c>
      <c r="F347" s="64">
        <f t="shared" si="26"/>
        <v>144079.01</v>
      </c>
      <c r="G347" s="68">
        <f t="shared" si="29"/>
        <v>957358.99</v>
      </c>
      <c r="H347" s="66">
        <f>C347/SUM($E$8:E347)*SUM($F$8:F347)</f>
        <v>-8584.0915987852259</v>
      </c>
      <c r="I347" s="66">
        <f>C347/SUM($E$8:E347)*SUM($G$8:G347)</f>
        <v>-630446.30840121477</v>
      </c>
    </row>
    <row r="348" spans="2:9">
      <c r="B348" s="67">
        <f t="shared" si="28"/>
        <v>42892</v>
      </c>
      <c r="C348" s="64">
        <f t="shared" si="25"/>
        <v>-163619.81</v>
      </c>
      <c r="D348" s="69">
        <v>353223.14</v>
      </c>
      <c r="E348" s="68">
        <f t="shared" si="27"/>
        <v>516842.95</v>
      </c>
      <c r="F348" s="64">
        <f t="shared" si="26"/>
        <v>-774689.6</v>
      </c>
      <c r="G348" s="68">
        <f t="shared" si="29"/>
        <v>1291532.55</v>
      </c>
      <c r="H348" s="66">
        <f>C348/SUM($E$8:E348)*SUM($F$8:F348)</f>
        <v>-1243.9259699242652</v>
      </c>
      <c r="I348" s="66">
        <f>C348/SUM($E$8:E348)*SUM($G$8:G348)</f>
        <v>-162375.88403007571</v>
      </c>
    </row>
    <row r="349" spans="2:9">
      <c r="B349" s="67">
        <f t="shared" si="28"/>
        <v>42893</v>
      </c>
      <c r="C349" s="64">
        <f t="shared" si="25"/>
        <v>10237378.6</v>
      </c>
      <c r="D349" s="69">
        <v>209161.49</v>
      </c>
      <c r="E349" s="68">
        <f t="shared" si="27"/>
        <v>-10028217.109999999</v>
      </c>
      <c r="F349" s="64">
        <f t="shared" si="26"/>
        <v>0</v>
      </c>
      <c r="G349" s="68">
        <f t="shared" si="29"/>
        <v>-10028217.109999999</v>
      </c>
      <c r="H349" s="66">
        <f>C349/SUM($E$8:E349)*SUM($F$8:F349)</f>
        <v>84122.772128793047</v>
      </c>
      <c r="I349" s="66">
        <f>C349/SUM($E$8:E349)*SUM($G$8:G349)</f>
        <v>10153255.827871205</v>
      </c>
    </row>
    <row r="350" spans="2:9">
      <c r="B350" s="67">
        <f t="shared" si="28"/>
        <v>42894</v>
      </c>
      <c r="C350" s="64">
        <f t="shared" si="25"/>
        <v>-17677294.920000002</v>
      </c>
      <c r="D350" s="69">
        <v>612077.56999999995</v>
      </c>
      <c r="E350" s="68">
        <f t="shared" si="27"/>
        <v>18289372.490000002</v>
      </c>
      <c r="F350" s="64">
        <f t="shared" si="26"/>
        <v>0</v>
      </c>
      <c r="G350" s="68">
        <f t="shared" si="29"/>
        <v>18289372.490000002</v>
      </c>
      <c r="H350" s="66">
        <f>C350/SUM($E$8:E350)*SUM($F$8:F350)</f>
        <v>-126591.4171893427</v>
      </c>
      <c r="I350" s="66">
        <f>C350/SUM($E$8:E350)*SUM($G$8:G350)</f>
        <v>-17550703.502810661</v>
      </c>
    </row>
    <row r="351" spans="2:9">
      <c r="B351" s="67">
        <f t="shared" si="28"/>
        <v>42895</v>
      </c>
      <c r="C351" s="64">
        <f t="shared" si="25"/>
        <v>13346.66</v>
      </c>
      <c r="D351" s="69">
        <v>296770.58</v>
      </c>
      <c r="E351" s="68">
        <f t="shared" si="27"/>
        <v>283423.92000000004</v>
      </c>
      <c r="F351" s="64">
        <f t="shared" si="26"/>
        <v>0</v>
      </c>
      <c r="G351" s="68">
        <f t="shared" si="29"/>
        <v>283423.92000000004</v>
      </c>
      <c r="H351" s="66">
        <f>C351/SUM($E$8:E351)*SUM($F$8:F351)</f>
        <v>95.388724583864899</v>
      </c>
      <c r="I351" s="66">
        <f>C351/SUM($E$8:E351)*SUM($G$8:G351)</f>
        <v>13251.271275416135</v>
      </c>
    </row>
    <row r="352" spans="2:9">
      <c r="B352" s="67">
        <f t="shared" si="28"/>
        <v>42896</v>
      </c>
      <c r="C352" s="64">
        <f t="shared" si="25"/>
        <v>0</v>
      </c>
      <c r="D352" s="69">
        <v>295058.09000000003</v>
      </c>
      <c r="E352" s="68">
        <f t="shared" si="27"/>
        <v>295058.09000000003</v>
      </c>
      <c r="F352" s="64">
        <f t="shared" si="26"/>
        <v>0</v>
      </c>
      <c r="G352" s="68">
        <f t="shared" si="29"/>
        <v>295058.09000000003</v>
      </c>
      <c r="H352" s="66">
        <f>C352/SUM($E$8:E352)*SUM($F$8:F352)</f>
        <v>0</v>
      </c>
      <c r="I352" s="66">
        <f>C352/SUM($E$8:E352)*SUM($G$8:G352)</f>
        <v>0</v>
      </c>
    </row>
    <row r="353" spans="2:9">
      <c r="B353" s="67">
        <f t="shared" si="28"/>
        <v>42897</v>
      </c>
      <c r="C353" s="64">
        <f t="shared" si="25"/>
        <v>0</v>
      </c>
      <c r="D353" s="69">
        <v>294994.99</v>
      </c>
      <c r="E353" s="68">
        <f t="shared" si="27"/>
        <v>294994.99</v>
      </c>
      <c r="F353" s="64">
        <f t="shared" si="26"/>
        <v>0</v>
      </c>
      <c r="G353" s="68">
        <f t="shared" si="29"/>
        <v>294994.99</v>
      </c>
      <c r="H353" s="66">
        <f>C353/SUM($E$8:E353)*SUM($F$8:F353)</f>
        <v>0</v>
      </c>
      <c r="I353" s="66">
        <f>C353/SUM($E$8:E353)*SUM($G$8:G353)</f>
        <v>0</v>
      </c>
    </row>
    <row r="354" spans="2:9">
      <c r="B354" s="67">
        <f t="shared" si="28"/>
        <v>42898</v>
      </c>
      <c r="C354" s="64">
        <f t="shared" si="25"/>
        <v>-68542.24000000002</v>
      </c>
      <c r="D354" s="69">
        <v>317911.78000000003</v>
      </c>
      <c r="E354" s="68">
        <f t="shared" si="27"/>
        <v>386454.02</v>
      </c>
      <c r="F354" s="64">
        <f t="shared" si="26"/>
        <v>0</v>
      </c>
      <c r="G354" s="68">
        <f t="shared" si="29"/>
        <v>386454.02</v>
      </c>
      <c r="H354" s="66">
        <f>C354/SUM($E$8:E354)*SUM($F$8:F354)</f>
        <v>-486.54048109540992</v>
      </c>
      <c r="I354" s="66">
        <f>C354/SUM($E$8:E354)*SUM($G$8:G354)</f>
        <v>-68055.699518904614</v>
      </c>
    </row>
    <row r="355" spans="2:9">
      <c r="B355" s="67">
        <f t="shared" si="28"/>
        <v>42899</v>
      </c>
      <c r="C355" s="64">
        <f t="shared" si="25"/>
        <v>318258.5</v>
      </c>
      <c r="D355" s="69">
        <v>227115.33</v>
      </c>
      <c r="E355" s="68">
        <f t="shared" si="27"/>
        <v>-91143.170000000013</v>
      </c>
      <c r="F355" s="64">
        <f t="shared" si="26"/>
        <v>0</v>
      </c>
      <c r="G355" s="68">
        <f t="shared" si="29"/>
        <v>-91143.170000000013</v>
      </c>
      <c r="H355" s="66">
        <f>C355/SUM($E$8:E355)*SUM($F$8:F355)</f>
        <v>2260.5622416876795</v>
      </c>
      <c r="I355" s="66">
        <f>C355/SUM($E$8:E355)*SUM($G$8:G355)</f>
        <v>315997.93775831239</v>
      </c>
    </row>
    <row r="356" spans="2:9">
      <c r="B356" s="67">
        <f t="shared" si="28"/>
        <v>42900</v>
      </c>
      <c r="C356" s="64">
        <f t="shared" si="25"/>
        <v>-531277.27</v>
      </c>
      <c r="D356" s="69">
        <v>299205.01</v>
      </c>
      <c r="E356" s="68">
        <f t="shared" si="27"/>
        <v>830482.28</v>
      </c>
      <c r="F356" s="64">
        <f t="shared" si="26"/>
        <v>0</v>
      </c>
      <c r="G356" s="68">
        <f t="shared" si="29"/>
        <v>830482.28</v>
      </c>
      <c r="H356" s="66">
        <f>C356/SUM($E$8:E356)*SUM($F$8:F356)</f>
        <v>-3751.9009194582936</v>
      </c>
      <c r="I356" s="66">
        <f>C356/SUM($E$8:E356)*SUM($G$8:G356)</f>
        <v>-527525.36908054177</v>
      </c>
    </row>
    <row r="357" spans="2:9">
      <c r="B357" s="67">
        <f t="shared" si="28"/>
        <v>42901</v>
      </c>
      <c r="C357" s="64">
        <f t="shared" si="25"/>
        <v>-835271.21</v>
      </c>
      <c r="D357" s="69">
        <v>164347.29</v>
      </c>
      <c r="E357" s="68">
        <f t="shared" si="27"/>
        <v>999618.5</v>
      </c>
      <c r="F357" s="64">
        <f t="shared" si="26"/>
        <v>0</v>
      </c>
      <c r="G357" s="68">
        <f t="shared" si="29"/>
        <v>999618.5</v>
      </c>
      <c r="H357" s="66">
        <f>C357/SUM($E$8:E357)*SUM($F$8:F357)</f>
        <v>-5858.14238483193</v>
      </c>
      <c r="I357" s="66">
        <f>C357/SUM($E$8:E357)*SUM($G$8:G357)</f>
        <v>-829413.06761516805</v>
      </c>
    </row>
    <row r="358" spans="2:9">
      <c r="B358" s="67">
        <f t="shared" si="28"/>
        <v>42902</v>
      </c>
      <c r="C358" s="64">
        <f t="shared" si="25"/>
        <v>924152.37000000011</v>
      </c>
      <c r="D358" s="69">
        <v>368445.11</v>
      </c>
      <c r="E358" s="68">
        <f t="shared" si="27"/>
        <v>-555707.26000000013</v>
      </c>
      <c r="F358" s="64">
        <f t="shared" si="26"/>
        <v>0</v>
      </c>
      <c r="G358" s="68">
        <f t="shared" si="29"/>
        <v>-555707.26000000013</v>
      </c>
      <c r="H358" s="66">
        <f>C358/SUM($E$8:E358)*SUM($F$8:F358)</f>
        <v>6506.3875029945611</v>
      </c>
      <c r="I358" s="66">
        <f>C358/SUM($E$8:E358)*SUM($G$8:G358)</f>
        <v>917645.98249700561</v>
      </c>
    </row>
    <row r="359" spans="2:9">
      <c r="B359" s="67">
        <f t="shared" si="28"/>
        <v>42903</v>
      </c>
      <c r="C359" s="64">
        <f t="shared" si="25"/>
        <v>0</v>
      </c>
      <c r="D359" s="69">
        <v>290810.59999999998</v>
      </c>
      <c r="E359" s="68">
        <f t="shared" si="27"/>
        <v>290810.59999999998</v>
      </c>
      <c r="F359" s="64">
        <f t="shared" si="26"/>
        <v>0</v>
      </c>
      <c r="G359" s="68">
        <f t="shared" si="29"/>
        <v>290810.59999999998</v>
      </c>
      <c r="H359" s="66">
        <f>C359/SUM($E$8:E359)*SUM($F$8:F359)</f>
        <v>0</v>
      </c>
      <c r="I359" s="66">
        <f>C359/SUM($E$8:E359)*SUM($G$8:G359)</f>
        <v>0</v>
      </c>
    </row>
    <row r="360" spans="2:9">
      <c r="B360" s="67">
        <f t="shared" si="28"/>
        <v>42904</v>
      </c>
      <c r="C360" s="64">
        <f t="shared" si="25"/>
        <v>0</v>
      </c>
      <c r="D360" s="69">
        <v>290807.87</v>
      </c>
      <c r="E360" s="68">
        <f t="shared" si="27"/>
        <v>290807.87</v>
      </c>
      <c r="F360" s="64">
        <f t="shared" si="26"/>
        <v>0</v>
      </c>
      <c r="G360" s="68">
        <f t="shared" si="29"/>
        <v>290807.87</v>
      </c>
      <c r="H360" s="66">
        <f>C360/SUM($E$8:E360)*SUM($F$8:F360)</f>
        <v>0</v>
      </c>
      <c r="I360" s="66">
        <f>C360/SUM($E$8:E360)*SUM($G$8:G360)</f>
        <v>0</v>
      </c>
    </row>
    <row r="361" spans="2:9">
      <c r="B361" s="67">
        <f t="shared" si="28"/>
        <v>42905</v>
      </c>
      <c r="C361" s="64">
        <f t="shared" si="25"/>
        <v>-1059374.29</v>
      </c>
      <c r="D361" s="69">
        <v>272161.65000000002</v>
      </c>
      <c r="E361" s="68">
        <f t="shared" si="27"/>
        <v>1331535.94</v>
      </c>
      <c r="F361" s="64">
        <f t="shared" si="26"/>
        <v>0</v>
      </c>
      <c r="G361" s="68">
        <f t="shared" si="29"/>
        <v>1331535.94</v>
      </c>
      <c r="H361" s="66">
        <f>C361/SUM($E$8:E361)*SUM($F$8:F361)</f>
        <v>-7361.1199476146721</v>
      </c>
      <c r="I361" s="66">
        <f>C361/SUM($E$8:E361)*SUM($G$8:G361)</f>
        <v>-1052013.1700523854</v>
      </c>
    </row>
    <row r="362" spans="2:9">
      <c r="B362" s="67">
        <f t="shared" si="28"/>
        <v>42906</v>
      </c>
      <c r="C362" s="64">
        <f t="shared" si="25"/>
        <v>-39768282.43</v>
      </c>
      <c r="D362" s="69">
        <v>1223655.32</v>
      </c>
      <c r="E362" s="68">
        <f t="shared" si="27"/>
        <v>40991937.75</v>
      </c>
      <c r="F362" s="64">
        <f t="shared" si="26"/>
        <v>8500687.7200000007</v>
      </c>
      <c r="G362" s="68">
        <f t="shared" si="29"/>
        <v>32491250.030000001</v>
      </c>
      <c r="H362" s="66">
        <f>C362/SUM($E$8:E362)*SUM($F$8:F362)</f>
        <v>-2017318.3949530886</v>
      </c>
      <c r="I362" s="66">
        <f>C362/SUM($E$8:E362)*SUM($G$8:G362)</f>
        <v>-37750964.035046913</v>
      </c>
    </row>
    <row r="363" spans="2:9">
      <c r="B363" s="67">
        <f t="shared" si="28"/>
        <v>42907</v>
      </c>
      <c r="C363" s="64">
        <f t="shared" si="25"/>
        <v>0</v>
      </c>
      <c r="D363" s="69">
        <v>116239.48</v>
      </c>
      <c r="E363" s="68">
        <f t="shared" si="27"/>
        <v>116239.48</v>
      </c>
      <c r="F363" s="64">
        <f t="shared" si="26"/>
        <v>0</v>
      </c>
      <c r="G363" s="68">
        <f t="shared" si="29"/>
        <v>116239.48</v>
      </c>
      <c r="H363" s="66">
        <f>C363/SUM($E$8:E363)*SUM($F$8:F363)</f>
        <v>0</v>
      </c>
      <c r="I363" s="66">
        <f>C363/SUM($E$8:E363)*SUM($G$8:G363)</f>
        <v>0</v>
      </c>
    </row>
    <row r="364" spans="2:9">
      <c r="B364" s="67">
        <f t="shared" si="28"/>
        <v>42908</v>
      </c>
      <c r="C364" s="64">
        <f t="shared" si="25"/>
        <v>0</v>
      </c>
      <c r="D364" s="69">
        <v>139632.18</v>
      </c>
      <c r="E364" s="68">
        <f t="shared" si="27"/>
        <v>139632.18</v>
      </c>
      <c r="F364" s="64">
        <f t="shared" si="26"/>
        <v>0</v>
      </c>
      <c r="G364" s="68">
        <f t="shared" si="29"/>
        <v>139632.18</v>
      </c>
      <c r="H364" s="66">
        <f>C364/SUM($E$8:E364)*SUM($F$8:F364)</f>
        <v>0</v>
      </c>
      <c r="I364" s="66">
        <f>C364/SUM($E$8:E364)*SUM($G$8:G364)</f>
        <v>0</v>
      </c>
    </row>
    <row r="365" spans="2:9">
      <c r="B365" s="67">
        <f t="shared" si="28"/>
        <v>42909</v>
      </c>
      <c r="C365" s="64">
        <f t="shared" si="25"/>
        <v>155310.95000000001</v>
      </c>
      <c r="D365" s="69">
        <v>169459.03</v>
      </c>
      <c r="E365" s="68">
        <f t="shared" si="27"/>
        <v>14148.079999999987</v>
      </c>
      <c r="F365" s="64">
        <f t="shared" si="26"/>
        <v>0</v>
      </c>
      <c r="G365" s="68">
        <f t="shared" si="29"/>
        <v>14148.079999999987</v>
      </c>
      <c r="H365" s="66">
        <f>C365/SUM($E$8:E365)*SUM($F$8:F365)</f>
        <v>7867.1109527459039</v>
      </c>
      <c r="I365" s="66">
        <f>C365/SUM($E$8:E365)*SUM($G$8:G365)</f>
        <v>147443.83904725412</v>
      </c>
    </row>
    <row r="366" spans="2:9">
      <c r="B366" s="67">
        <f t="shared" si="28"/>
        <v>42910</v>
      </c>
      <c r="C366" s="64">
        <f t="shared" si="25"/>
        <v>0</v>
      </c>
      <c r="D366" s="69">
        <v>171976.06</v>
      </c>
      <c r="E366" s="68">
        <f t="shared" si="27"/>
        <v>171976.06</v>
      </c>
      <c r="F366" s="64">
        <f t="shared" si="26"/>
        <v>0</v>
      </c>
      <c r="G366" s="68">
        <f t="shared" si="29"/>
        <v>171976.06</v>
      </c>
      <c r="H366" s="66">
        <f>C366/SUM($E$8:E366)*SUM($F$8:F366)</f>
        <v>0</v>
      </c>
      <c r="I366" s="66">
        <f>C366/SUM($E$8:E366)*SUM($G$8:G366)</f>
        <v>0</v>
      </c>
    </row>
    <row r="367" spans="2:9">
      <c r="B367" s="67">
        <f t="shared" si="28"/>
        <v>42911</v>
      </c>
      <c r="C367" s="64">
        <f t="shared" si="25"/>
        <v>0</v>
      </c>
      <c r="D367" s="69">
        <v>171975.59</v>
      </c>
      <c r="E367" s="68">
        <f t="shared" si="27"/>
        <v>171975.59</v>
      </c>
      <c r="F367" s="64">
        <f t="shared" si="26"/>
        <v>0</v>
      </c>
      <c r="G367" s="68">
        <f t="shared" si="29"/>
        <v>171975.59</v>
      </c>
      <c r="H367" s="66">
        <f>C367/SUM($E$8:E367)*SUM($F$8:F367)</f>
        <v>0</v>
      </c>
      <c r="I367" s="66">
        <f>C367/SUM($E$8:E367)*SUM($G$8:G367)</f>
        <v>0</v>
      </c>
    </row>
    <row r="368" spans="2:9">
      <c r="B368" s="67">
        <f t="shared" si="28"/>
        <v>42912</v>
      </c>
      <c r="C368" s="64">
        <f t="shared" si="25"/>
        <v>0</v>
      </c>
      <c r="D368" s="69">
        <v>171994.23</v>
      </c>
      <c r="E368" s="68">
        <f t="shared" si="27"/>
        <v>171994.23</v>
      </c>
      <c r="F368" s="64">
        <f t="shared" si="26"/>
        <v>0</v>
      </c>
      <c r="G368" s="68">
        <f t="shared" si="29"/>
        <v>171994.23</v>
      </c>
      <c r="H368" s="66">
        <f>C368/SUM($E$8:E368)*SUM($F$8:F368)</f>
        <v>0</v>
      </c>
      <c r="I368" s="66">
        <f>C368/SUM($E$8:E368)*SUM($G$8:G368)</f>
        <v>0</v>
      </c>
    </row>
    <row r="369" spans="2:9">
      <c r="B369" s="67">
        <f t="shared" si="28"/>
        <v>42913</v>
      </c>
      <c r="C369" s="64">
        <f t="shared" si="25"/>
        <v>0</v>
      </c>
      <c r="D369" s="69">
        <v>171972.72</v>
      </c>
      <c r="E369" s="68">
        <f t="shared" si="27"/>
        <v>171972.72</v>
      </c>
      <c r="F369" s="64">
        <f t="shared" si="26"/>
        <v>0</v>
      </c>
      <c r="G369" s="68">
        <f t="shared" si="29"/>
        <v>171972.72</v>
      </c>
      <c r="H369" s="66">
        <f>C369/SUM($E$8:E369)*SUM($F$8:F369)</f>
        <v>0</v>
      </c>
      <c r="I369" s="66">
        <f>C369/SUM($E$8:E369)*SUM($G$8:G369)</f>
        <v>0</v>
      </c>
    </row>
    <row r="370" spans="2:9">
      <c r="B370" s="67">
        <f t="shared" si="28"/>
        <v>42914</v>
      </c>
      <c r="C370" s="64">
        <f t="shared" si="25"/>
        <v>0</v>
      </c>
      <c r="D370" s="69">
        <v>171972.26</v>
      </c>
      <c r="E370" s="68">
        <f t="shared" si="27"/>
        <v>171972.26</v>
      </c>
      <c r="F370" s="64">
        <f t="shared" si="26"/>
        <v>0</v>
      </c>
      <c r="G370" s="68">
        <f t="shared" si="29"/>
        <v>171972.26</v>
      </c>
      <c r="H370" s="66">
        <f>C370/SUM($E$8:E370)*SUM($F$8:F370)</f>
        <v>0</v>
      </c>
      <c r="I370" s="66">
        <f>C370/SUM($E$8:E370)*SUM($G$8:G370)</f>
        <v>0</v>
      </c>
    </row>
    <row r="371" spans="2:9">
      <c r="B371" s="67">
        <f t="shared" si="28"/>
        <v>42915</v>
      </c>
      <c r="C371" s="64">
        <f t="shared" si="25"/>
        <v>413.36</v>
      </c>
      <c r="D371" s="69">
        <v>421056.58</v>
      </c>
      <c r="E371" s="68">
        <f t="shared" si="27"/>
        <v>420643.22000000003</v>
      </c>
      <c r="F371" s="64">
        <f t="shared" si="26"/>
        <v>0</v>
      </c>
      <c r="G371" s="68">
        <f t="shared" si="29"/>
        <v>420643.22000000003</v>
      </c>
      <c r="H371" s="66">
        <f>C371/SUM($E$8:E371)*SUM($F$8:F371)</f>
        <v>20.796612588612845</v>
      </c>
      <c r="I371" s="66">
        <f>C371/SUM($E$8:E371)*SUM($G$8:G371)</f>
        <v>392.56338741138717</v>
      </c>
    </row>
    <row r="372" spans="2:9">
      <c r="B372" s="67">
        <f t="shared" si="28"/>
        <v>42916</v>
      </c>
      <c r="C372" s="64">
        <f t="shared" si="25"/>
        <v>2755586.27</v>
      </c>
      <c r="D372" s="69">
        <v>-41838.71</v>
      </c>
      <c r="E372" s="68">
        <f t="shared" si="27"/>
        <v>-2797424.98</v>
      </c>
      <c r="F372" s="64">
        <f t="shared" si="26"/>
        <v>-121689.67</v>
      </c>
      <c r="G372" s="68">
        <f t="shared" si="29"/>
        <v>-2675735.31</v>
      </c>
      <c r="H372" s="66">
        <f>C372/SUM($E$8:E372)*SUM($F$8:F372)</f>
        <v>138918.2993552697</v>
      </c>
      <c r="I372" s="66">
        <f>C372/SUM($E$8:E372)*SUM($G$8:G372)</f>
        <v>2616667.9706447301</v>
      </c>
    </row>
    <row r="373" spans="2:9" ht="13.5" thickBot="1">
      <c r="B373" s="70"/>
      <c r="C373" s="71">
        <f t="shared" ref="C373:I373" si="30">SUM(C8:C372)</f>
        <v>-61270632.899999991</v>
      </c>
      <c r="D373" s="71">
        <f t="shared" si="30"/>
        <v>125152186</v>
      </c>
      <c r="E373" s="71">
        <f t="shared" si="30"/>
        <v>186422818.90000007</v>
      </c>
      <c r="F373" s="71">
        <f t="shared" si="30"/>
        <v>9398196.4000000041</v>
      </c>
      <c r="G373" s="71">
        <f t="shared" si="30"/>
        <v>177024622.50000006</v>
      </c>
      <c r="H373" s="71">
        <f t="shared" si="30"/>
        <v>-3263097.9523182684</v>
      </c>
      <c r="I373" s="71">
        <f t="shared" si="30"/>
        <v>-58007534.94768174</v>
      </c>
    </row>
    <row r="374" spans="2:9" ht="13.5" thickTop="1">
      <c r="D374" s="74"/>
    </row>
    <row r="375" spans="2:9">
      <c r="D375" s="76"/>
    </row>
    <row r="376" spans="2:9" ht="38.25">
      <c r="B376" s="59" t="s">
        <v>1385</v>
      </c>
      <c r="C376" s="72" t="s">
        <v>373</v>
      </c>
      <c r="D376" s="59" t="s">
        <v>1385</v>
      </c>
      <c r="E376" s="72" t="s">
        <v>1394</v>
      </c>
      <c r="G376" s="72"/>
      <c r="I376" s="72"/>
    </row>
    <row r="377" spans="2:9">
      <c r="B377" s="73">
        <v>42685</v>
      </c>
      <c r="C377" s="74">
        <v>148569.60000000001</v>
      </c>
      <c r="D377" s="73">
        <v>42562</v>
      </c>
      <c r="E377" s="74">
        <v>-1489.25</v>
      </c>
      <c r="F377" s="76"/>
    </row>
    <row r="378" spans="2:9">
      <c r="B378" s="73">
        <v>42691</v>
      </c>
      <c r="C378" s="74">
        <v>-42044</v>
      </c>
      <c r="D378" s="73">
        <v>42563</v>
      </c>
      <c r="E378" s="74">
        <v>54.23</v>
      </c>
      <c r="F378" s="76"/>
    </row>
    <row r="379" spans="2:9">
      <c r="B379" s="73">
        <v>42692</v>
      </c>
      <c r="C379" s="74">
        <v>-87864.4</v>
      </c>
      <c r="D379" s="73">
        <v>42563</v>
      </c>
      <c r="E379" s="74">
        <v>-3875.73</v>
      </c>
      <c r="F379" s="76"/>
    </row>
    <row r="380" spans="2:9">
      <c r="B380" s="73">
        <v>42697</v>
      </c>
      <c r="C380" s="74">
        <v>49889.8</v>
      </c>
      <c r="D380" s="73">
        <v>42563</v>
      </c>
      <c r="E380" s="74">
        <v>1121.19</v>
      </c>
      <c r="F380" s="76"/>
    </row>
    <row r="381" spans="2:9">
      <c r="B381" s="73">
        <v>42697</v>
      </c>
      <c r="C381" s="74">
        <v>-49889.8</v>
      </c>
      <c r="D381" s="73">
        <v>42563</v>
      </c>
      <c r="E381" s="74">
        <v>-2221.94</v>
      </c>
      <c r="F381" s="76"/>
    </row>
    <row r="382" spans="2:9">
      <c r="B382" s="73">
        <v>42698</v>
      </c>
      <c r="C382" s="74">
        <v>425</v>
      </c>
      <c r="D382" s="73">
        <v>42563</v>
      </c>
      <c r="E382" s="74">
        <v>-0.56000000000000005</v>
      </c>
      <c r="F382" s="76"/>
    </row>
    <row r="383" spans="2:9">
      <c r="B383" s="73">
        <v>42703</v>
      </c>
      <c r="C383" s="74">
        <v>65443.6</v>
      </c>
      <c r="D383" s="73">
        <v>42564</v>
      </c>
      <c r="E383" s="74">
        <v>-5758.21</v>
      </c>
      <c r="F383" s="76"/>
    </row>
    <row r="384" spans="2:9">
      <c r="B384" s="73">
        <v>42703</v>
      </c>
      <c r="C384" s="74">
        <v>228730.14</v>
      </c>
      <c r="D384" s="73">
        <v>42564</v>
      </c>
      <c r="E384" s="74">
        <v>4834.21</v>
      </c>
      <c r="F384" s="76"/>
    </row>
    <row r="385" spans="2:6">
      <c r="B385" s="73">
        <v>42703</v>
      </c>
      <c r="C385" s="74">
        <v>147288.54999999999</v>
      </c>
      <c r="D385" s="73">
        <v>42564</v>
      </c>
      <c r="E385" s="74">
        <v>3152.92</v>
      </c>
      <c r="F385" s="76"/>
    </row>
    <row r="386" spans="2:6">
      <c r="B386" s="73">
        <v>42703</v>
      </c>
      <c r="C386" s="74">
        <v>25723.4</v>
      </c>
      <c r="D386" s="73">
        <v>42564</v>
      </c>
      <c r="E386" s="74">
        <v>552.32000000000005</v>
      </c>
      <c r="F386" s="76"/>
    </row>
    <row r="387" spans="2:6">
      <c r="B387" s="73">
        <v>42703</v>
      </c>
      <c r="C387" s="74">
        <v>4279.8</v>
      </c>
      <c r="D387" s="73">
        <v>42564</v>
      </c>
      <c r="E387" s="74">
        <v>-2655.63</v>
      </c>
      <c r="F387" s="76"/>
    </row>
    <row r="388" spans="2:6">
      <c r="B388" s="73">
        <v>42703</v>
      </c>
      <c r="C388" s="74">
        <v>483.95</v>
      </c>
      <c r="D388" s="73">
        <v>42565</v>
      </c>
      <c r="E388" s="74">
        <v>-38610.22</v>
      </c>
      <c r="F388" s="76"/>
    </row>
    <row r="389" spans="2:6">
      <c r="B389" s="73">
        <v>42704</v>
      </c>
      <c r="C389" s="74">
        <v>180825.95</v>
      </c>
      <c r="D389" s="73">
        <v>42565</v>
      </c>
      <c r="E389" s="74">
        <v>15.05</v>
      </c>
      <c r="F389" s="76"/>
    </row>
    <row r="390" spans="2:6">
      <c r="B390" s="73">
        <v>42704</v>
      </c>
      <c r="C390" s="74">
        <v>81144.2</v>
      </c>
      <c r="D390" s="73">
        <v>42565</v>
      </c>
      <c r="E390" s="74">
        <v>129.38999999999999</v>
      </c>
      <c r="F390" s="76"/>
    </row>
    <row r="391" spans="2:6">
      <c r="B391" s="73">
        <v>42704</v>
      </c>
      <c r="C391" s="74">
        <v>4624</v>
      </c>
      <c r="D391" s="73">
        <v>42566</v>
      </c>
      <c r="E391" s="74">
        <v>-867.29</v>
      </c>
      <c r="F391" s="76"/>
    </row>
    <row r="392" spans="2:6">
      <c r="B392" s="73">
        <v>42704</v>
      </c>
      <c r="C392" s="74">
        <v>3705.76</v>
      </c>
      <c r="D392" s="73">
        <v>42566</v>
      </c>
      <c r="E392" s="74">
        <v>2220.8000000000002</v>
      </c>
      <c r="F392" s="76"/>
    </row>
    <row r="393" spans="2:6">
      <c r="B393" s="73">
        <v>42705</v>
      </c>
      <c r="C393" s="74">
        <v>21603.200000000001</v>
      </c>
      <c r="D393" s="73">
        <v>42566</v>
      </c>
      <c r="E393" s="74">
        <v>-199.51</v>
      </c>
      <c r="F393" s="76"/>
    </row>
    <row r="394" spans="2:6">
      <c r="B394" s="73">
        <v>42705</v>
      </c>
      <c r="C394" s="74">
        <v>500.35</v>
      </c>
      <c r="D394" s="73">
        <v>42566</v>
      </c>
      <c r="E394" s="74">
        <v>-1840.46</v>
      </c>
      <c r="F394" s="76"/>
    </row>
    <row r="395" spans="2:6">
      <c r="B395" s="73">
        <v>42706</v>
      </c>
      <c r="C395" s="74">
        <v>35726.69</v>
      </c>
      <c r="D395" s="73">
        <v>42569</v>
      </c>
      <c r="E395" s="74">
        <v>-7527.75</v>
      </c>
      <c r="F395" s="76"/>
    </row>
    <row r="396" spans="2:6">
      <c r="B396" s="73">
        <v>42706</v>
      </c>
      <c r="C396" s="74">
        <v>163217.4</v>
      </c>
      <c r="D396" s="73">
        <v>42569</v>
      </c>
      <c r="E396" s="74">
        <v>317.2</v>
      </c>
      <c r="F396" s="76"/>
    </row>
    <row r="397" spans="2:6">
      <c r="B397" s="73">
        <v>42706</v>
      </c>
      <c r="C397" s="74">
        <v>65753.5</v>
      </c>
      <c r="D397" s="73">
        <v>42569</v>
      </c>
      <c r="E397" s="74">
        <v>-372.64</v>
      </c>
      <c r="F397" s="76"/>
    </row>
    <row r="398" spans="2:6">
      <c r="B398" s="73">
        <v>42706</v>
      </c>
      <c r="C398" s="74">
        <v>35522.400000000001</v>
      </c>
      <c r="D398" s="73">
        <v>42569</v>
      </c>
      <c r="E398" s="74">
        <v>-19.14</v>
      </c>
      <c r="F398" s="76"/>
    </row>
    <row r="399" spans="2:6">
      <c r="B399" s="73">
        <v>42709</v>
      </c>
      <c r="C399" s="74">
        <v>110614.21</v>
      </c>
      <c r="D399" s="73">
        <v>42569</v>
      </c>
      <c r="E399" s="74">
        <v>627.49</v>
      </c>
      <c r="F399" s="76"/>
    </row>
    <row r="400" spans="2:6">
      <c r="B400" s="73">
        <v>42709</v>
      </c>
      <c r="C400" s="74">
        <v>601404.16000000003</v>
      </c>
      <c r="D400" s="73">
        <v>42569</v>
      </c>
      <c r="E400" s="74">
        <v>-57.44</v>
      </c>
      <c r="F400" s="76"/>
    </row>
    <row r="401" spans="2:6">
      <c r="B401" s="73">
        <v>42709</v>
      </c>
      <c r="C401" s="74">
        <v>-1643.2</v>
      </c>
      <c r="D401" s="73">
        <v>42570</v>
      </c>
      <c r="E401" s="74">
        <v>927.7</v>
      </c>
      <c r="F401" s="76"/>
    </row>
    <row r="402" spans="2:6">
      <c r="B402" s="73">
        <v>42709</v>
      </c>
      <c r="C402" s="74">
        <v>114.65</v>
      </c>
      <c r="D402" s="73">
        <v>42570</v>
      </c>
      <c r="E402" s="74">
        <v>-28.37</v>
      </c>
      <c r="F402" s="76"/>
    </row>
    <row r="403" spans="2:6">
      <c r="B403" s="73">
        <v>42709</v>
      </c>
      <c r="C403" s="74">
        <v>521380.49</v>
      </c>
      <c r="D403" s="73">
        <v>42570</v>
      </c>
      <c r="E403" s="74">
        <v>1050.95</v>
      </c>
      <c r="F403" s="76"/>
    </row>
    <row r="404" spans="2:6">
      <c r="B404" s="73">
        <v>42709</v>
      </c>
      <c r="C404" s="74">
        <v>-2175</v>
      </c>
      <c r="D404" s="73">
        <v>42570</v>
      </c>
      <c r="E404" s="74">
        <v>-455.67</v>
      </c>
      <c r="F404" s="76"/>
    </row>
    <row r="405" spans="2:6">
      <c r="B405" s="73">
        <v>42710</v>
      </c>
      <c r="C405" s="74">
        <v>-19020.009999999998</v>
      </c>
      <c r="D405" s="73">
        <v>42571</v>
      </c>
      <c r="E405" s="74">
        <v>30560.76</v>
      </c>
      <c r="F405" s="76"/>
    </row>
    <row r="406" spans="2:6">
      <c r="B406" s="73">
        <v>42710</v>
      </c>
      <c r="C406" s="74">
        <v>80526.600000000006</v>
      </c>
      <c r="D406" s="73">
        <v>42571</v>
      </c>
      <c r="E406" s="74">
        <v>-1909.86</v>
      </c>
      <c r="F406" s="76"/>
    </row>
    <row r="407" spans="2:6">
      <c r="B407" s="73">
        <v>42710</v>
      </c>
      <c r="C407" s="74">
        <v>3274.35</v>
      </c>
      <c r="D407" s="73">
        <v>42571</v>
      </c>
      <c r="E407" s="74">
        <v>-1134.32</v>
      </c>
      <c r="F407" s="76"/>
    </row>
    <row r="408" spans="2:6">
      <c r="B408" s="73">
        <v>42710</v>
      </c>
      <c r="C408" s="74">
        <v>163854.45000000001</v>
      </c>
      <c r="D408" s="73">
        <v>42571</v>
      </c>
      <c r="E408" s="74">
        <v>-730.93</v>
      </c>
      <c r="F408" s="76"/>
    </row>
    <row r="409" spans="2:6">
      <c r="B409" s="73">
        <v>42710</v>
      </c>
      <c r="C409" s="74">
        <v>46335.67</v>
      </c>
      <c r="D409" s="73">
        <v>42571</v>
      </c>
      <c r="E409" s="74">
        <v>3810.43</v>
      </c>
      <c r="F409" s="76"/>
    </row>
    <row r="410" spans="2:6">
      <c r="B410" s="73">
        <v>42710</v>
      </c>
      <c r="C410" s="74">
        <v>166533.79</v>
      </c>
      <c r="D410" s="73">
        <v>42571</v>
      </c>
      <c r="E410" s="74">
        <v>-21535.17</v>
      </c>
      <c r="F410" s="76"/>
    </row>
    <row r="411" spans="2:6">
      <c r="B411" s="73">
        <v>42710</v>
      </c>
      <c r="C411" s="74">
        <v>124948.21</v>
      </c>
      <c r="D411" s="73">
        <v>42572</v>
      </c>
      <c r="E411" s="74">
        <v>-2967.74</v>
      </c>
      <c r="F411" s="76"/>
    </row>
    <row r="412" spans="2:6">
      <c r="B412" s="73">
        <v>42710</v>
      </c>
      <c r="C412" s="74">
        <v>19653.2</v>
      </c>
      <c r="D412" s="73">
        <v>42572</v>
      </c>
      <c r="E412" s="74">
        <v>4707.4399999999996</v>
      </c>
      <c r="F412" s="76"/>
    </row>
    <row r="413" spans="2:6">
      <c r="B413" s="73">
        <v>42710</v>
      </c>
      <c r="C413" s="74">
        <v>230935.69</v>
      </c>
      <c r="D413" s="73">
        <v>42572</v>
      </c>
      <c r="E413" s="74">
        <v>2068.58</v>
      </c>
      <c r="F413" s="76"/>
    </row>
    <row r="414" spans="2:6">
      <c r="B414" s="73">
        <v>42711</v>
      </c>
      <c r="C414" s="74">
        <v>17030.2</v>
      </c>
      <c r="D414" s="73">
        <v>42572</v>
      </c>
      <c r="E414" s="74">
        <v>-612.33000000000004</v>
      </c>
      <c r="F414" s="76"/>
    </row>
    <row r="415" spans="2:6">
      <c r="B415" s="73">
        <v>42711</v>
      </c>
      <c r="C415" s="74">
        <v>151224</v>
      </c>
      <c r="D415" s="73">
        <v>42572</v>
      </c>
      <c r="E415" s="74">
        <v>85760.26</v>
      </c>
      <c r="F415" s="76"/>
    </row>
    <row r="416" spans="2:6">
      <c r="B416" s="73">
        <v>42717</v>
      </c>
      <c r="C416" s="74">
        <v>5307.48</v>
      </c>
      <c r="D416" s="73">
        <v>42572</v>
      </c>
      <c r="E416" s="74">
        <v>-624.27</v>
      </c>
      <c r="F416" s="76"/>
    </row>
    <row r="417" spans="2:6">
      <c r="B417" s="73">
        <v>42719</v>
      </c>
      <c r="C417" s="74">
        <v>103797.48</v>
      </c>
      <c r="D417" s="73">
        <v>42572</v>
      </c>
      <c r="E417" s="74">
        <v>12498.74</v>
      </c>
      <c r="F417" s="76"/>
    </row>
    <row r="418" spans="2:6">
      <c r="B418" s="73">
        <v>42720</v>
      </c>
      <c r="C418" s="74">
        <v>74773.75</v>
      </c>
      <c r="D418" s="73">
        <v>42572</v>
      </c>
      <c r="E418" s="74">
        <v>-1560.11</v>
      </c>
      <c r="F418" s="76"/>
    </row>
    <row r="419" spans="2:6">
      <c r="B419" s="73">
        <v>42720</v>
      </c>
      <c r="C419" s="74">
        <v>324889.7</v>
      </c>
      <c r="D419" s="73">
        <v>42572</v>
      </c>
      <c r="E419" s="74">
        <v>-85760.26</v>
      </c>
      <c r="F419" s="76"/>
    </row>
    <row r="420" spans="2:6">
      <c r="B420" s="73">
        <v>42724</v>
      </c>
      <c r="C420" s="74">
        <v>-9627.1</v>
      </c>
      <c r="D420" s="73">
        <v>42572</v>
      </c>
      <c r="E420" s="74">
        <v>-1926.85</v>
      </c>
      <c r="F420" s="76"/>
    </row>
    <row r="421" spans="2:6">
      <c r="B421" s="73">
        <v>42724</v>
      </c>
      <c r="C421" s="74">
        <v>139021.04999999999</v>
      </c>
      <c r="D421" s="73">
        <v>42576</v>
      </c>
      <c r="E421" s="74">
        <v>-5172.1499999999996</v>
      </c>
      <c r="F421" s="76"/>
    </row>
    <row r="422" spans="2:6">
      <c r="B422" s="73">
        <v>42724</v>
      </c>
      <c r="C422" s="74">
        <v>3283.75</v>
      </c>
      <c r="D422" s="73">
        <v>42576</v>
      </c>
      <c r="E422" s="74">
        <v>-2392.11</v>
      </c>
      <c r="F422" s="76"/>
    </row>
    <row r="423" spans="2:6">
      <c r="B423" s="73">
        <v>42724</v>
      </c>
      <c r="C423" s="74">
        <v>-15324</v>
      </c>
      <c r="D423" s="73">
        <v>42576</v>
      </c>
      <c r="E423" s="74">
        <v>-22.57</v>
      </c>
      <c r="F423" s="76"/>
    </row>
    <row r="424" spans="2:6">
      <c r="B424" s="73">
        <v>42724</v>
      </c>
      <c r="C424" s="74">
        <v>1702.8</v>
      </c>
      <c r="D424" s="73">
        <v>42576</v>
      </c>
      <c r="E424" s="74">
        <v>22459.34</v>
      </c>
      <c r="F424" s="76"/>
    </row>
    <row r="425" spans="2:6">
      <c r="B425" s="73">
        <v>42724</v>
      </c>
      <c r="C425" s="74">
        <v>741.4</v>
      </c>
      <c r="D425" s="73">
        <v>42577</v>
      </c>
      <c r="E425" s="74">
        <v>4554.29</v>
      </c>
      <c r="F425" s="76"/>
    </row>
    <row r="426" spans="2:6">
      <c r="B426" s="73">
        <v>42724</v>
      </c>
      <c r="C426" s="74">
        <v>12309.4</v>
      </c>
      <c r="D426" s="73">
        <v>42577</v>
      </c>
      <c r="E426" s="74">
        <v>-216.53</v>
      </c>
      <c r="F426" s="76"/>
    </row>
    <row r="427" spans="2:6">
      <c r="B427" s="73">
        <v>42724</v>
      </c>
      <c r="C427" s="74">
        <v>1633.05</v>
      </c>
      <c r="D427" s="73">
        <v>42577</v>
      </c>
      <c r="E427" s="74">
        <v>71085.210000000006</v>
      </c>
      <c r="F427" s="76"/>
    </row>
    <row r="428" spans="2:6">
      <c r="B428" s="73">
        <v>42724</v>
      </c>
      <c r="C428" s="74">
        <v>73402.7</v>
      </c>
      <c r="D428" s="73">
        <v>42577</v>
      </c>
      <c r="E428" s="74">
        <v>-141.56</v>
      </c>
      <c r="F428" s="76"/>
    </row>
    <row r="429" spans="2:6">
      <c r="B429" s="73">
        <v>42724</v>
      </c>
      <c r="C429" s="74">
        <v>192991.2</v>
      </c>
      <c r="D429" s="73">
        <v>42578</v>
      </c>
      <c r="E429" s="74">
        <v>-74.900000000000006</v>
      </c>
      <c r="F429" s="76"/>
    </row>
    <row r="430" spans="2:6">
      <c r="B430" s="73">
        <v>42724</v>
      </c>
      <c r="C430" s="74">
        <v>159264.75</v>
      </c>
      <c r="D430" s="73">
        <v>42578</v>
      </c>
      <c r="E430" s="74">
        <v>1879.16</v>
      </c>
      <c r="F430" s="76"/>
    </row>
    <row r="431" spans="2:6">
      <c r="B431" s="73">
        <v>42725</v>
      </c>
      <c r="C431" s="74">
        <v>114164.65</v>
      </c>
      <c r="D431" s="73">
        <v>42578</v>
      </c>
      <c r="E431" s="74">
        <v>-299.57</v>
      </c>
      <c r="F431" s="76"/>
    </row>
    <row r="432" spans="2:6">
      <c r="B432" s="73">
        <v>42725</v>
      </c>
      <c r="C432" s="74">
        <v>-78062.81</v>
      </c>
      <c r="D432" s="73">
        <v>42578</v>
      </c>
      <c r="E432" s="74">
        <v>-11800.63</v>
      </c>
      <c r="F432" s="76"/>
    </row>
    <row r="433" spans="2:6">
      <c r="B433" s="73">
        <v>42725</v>
      </c>
      <c r="C433" s="74">
        <v>-70208.990000000005</v>
      </c>
      <c r="D433" s="73">
        <v>42578</v>
      </c>
      <c r="E433" s="74">
        <v>35966.269999999997</v>
      </c>
      <c r="F433" s="76"/>
    </row>
    <row r="434" spans="2:6">
      <c r="B434" s="73">
        <v>42725</v>
      </c>
      <c r="C434" s="74">
        <v>6152.2</v>
      </c>
      <c r="D434" s="73">
        <v>42579</v>
      </c>
      <c r="E434" s="74">
        <v>-1122.8699999999999</v>
      </c>
      <c r="F434" s="76"/>
    </row>
    <row r="435" spans="2:6">
      <c r="B435" s="73">
        <v>42725</v>
      </c>
      <c r="C435" s="74">
        <v>7578.3</v>
      </c>
      <c r="D435" s="73">
        <v>42579</v>
      </c>
      <c r="E435" s="74">
        <v>820.53</v>
      </c>
      <c r="F435" s="76"/>
    </row>
    <row r="436" spans="2:6">
      <c r="B436" s="73">
        <v>42725</v>
      </c>
      <c r="C436" s="74">
        <v>1632.5</v>
      </c>
      <c r="D436" s="73">
        <v>42579</v>
      </c>
      <c r="E436" s="74">
        <v>27155.25</v>
      </c>
      <c r="F436" s="76"/>
    </row>
    <row r="437" spans="2:6">
      <c r="B437" s="73">
        <v>42725</v>
      </c>
      <c r="C437" s="74">
        <v>50.1</v>
      </c>
      <c r="D437" s="73">
        <v>42580</v>
      </c>
      <c r="E437" s="74">
        <v>-205.76</v>
      </c>
      <c r="F437" s="76"/>
    </row>
    <row r="438" spans="2:6">
      <c r="B438" s="73">
        <v>42725</v>
      </c>
      <c r="C438" s="74">
        <v>49835.6</v>
      </c>
      <c r="D438" s="73">
        <v>42580</v>
      </c>
      <c r="E438" s="74">
        <v>34768.58</v>
      </c>
      <c r="F438" s="76"/>
    </row>
    <row r="439" spans="2:6">
      <c r="B439" s="73">
        <v>42725</v>
      </c>
      <c r="C439" s="74">
        <v>37727.199999999997</v>
      </c>
      <c r="D439" s="73">
        <v>42580</v>
      </c>
      <c r="E439" s="74">
        <v>-4712.2</v>
      </c>
      <c r="F439" s="76"/>
    </row>
    <row r="440" spans="2:6">
      <c r="B440" s="73">
        <v>42725</v>
      </c>
      <c r="C440" s="74">
        <v>185377.4</v>
      </c>
      <c r="D440" s="73">
        <v>42582</v>
      </c>
      <c r="E440" s="74">
        <v>-41536.33</v>
      </c>
      <c r="F440" s="76"/>
    </row>
    <row r="441" spans="2:6">
      <c r="B441" s="73">
        <v>42725</v>
      </c>
      <c r="C441" s="74">
        <v>31537.8</v>
      </c>
      <c r="D441" s="73">
        <v>42582</v>
      </c>
      <c r="E441" s="74">
        <v>-41.32</v>
      </c>
      <c r="F441" s="76"/>
    </row>
    <row r="442" spans="2:6">
      <c r="B442" s="73">
        <v>42725</v>
      </c>
      <c r="C442" s="74">
        <v>223007.6</v>
      </c>
      <c r="D442" s="73">
        <v>42582</v>
      </c>
      <c r="E442" s="74">
        <v>-217114.63</v>
      </c>
      <c r="F442" s="76"/>
    </row>
    <row r="443" spans="2:6">
      <c r="B443" s="73">
        <v>42725</v>
      </c>
      <c r="C443" s="74">
        <v>31192.799999999999</v>
      </c>
      <c r="D443" s="73">
        <v>42582</v>
      </c>
      <c r="E443" s="74">
        <v>9372.11</v>
      </c>
      <c r="F443" s="76"/>
    </row>
    <row r="444" spans="2:6">
      <c r="B444" s="73">
        <v>42725</v>
      </c>
      <c r="C444" s="74">
        <v>9300.35</v>
      </c>
      <c r="D444" s="73">
        <v>42582</v>
      </c>
      <c r="E444" s="74">
        <v>-418.49</v>
      </c>
      <c r="F444" s="76"/>
    </row>
    <row r="445" spans="2:6">
      <c r="B445" s="73">
        <v>42725</v>
      </c>
      <c r="C445" s="74">
        <v>-15617.1</v>
      </c>
      <c r="D445" s="73">
        <v>42582</v>
      </c>
      <c r="E445" s="74">
        <v>4774.83</v>
      </c>
      <c r="F445" s="76"/>
    </row>
    <row r="446" spans="2:6">
      <c r="B446" s="73">
        <v>42726</v>
      </c>
      <c r="C446" s="74">
        <v>16260.4</v>
      </c>
      <c r="D446" s="73">
        <v>42584</v>
      </c>
      <c r="E446" s="74">
        <v>20160.14</v>
      </c>
      <c r="F446" s="76"/>
    </row>
    <row r="447" spans="2:6">
      <c r="B447" s="73">
        <v>42726</v>
      </c>
      <c r="C447" s="74">
        <v>15130.5</v>
      </c>
      <c r="D447" s="73">
        <v>42584</v>
      </c>
      <c r="E447" s="74">
        <v>605.46</v>
      </c>
      <c r="F447" s="76"/>
    </row>
    <row r="448" spans="2:6">
      <c r="B448" s="73">
        <v>42726</v>
      </c>
      <c r="C448" s="74">
        <v>211457.38</v>
      </c>
      <c r="D448" s="73">
        <v>42584</v>
      </c>
      <c r="E448" s="74">
        <v>-370.72</v>
      </c>
      <c r="F448" s="76"/>
    </row>
    <row r="449" spans="2:6">
      <c r="B449" s="73">
        <v>42726</v>
      </c>
      <c r="C449" s="74">
        <v>891.4</v>
      </c>
      <c r="D449" s="73">
        <v>42584</v>
      </c>
      <c r="E449" s="74">
        <v>-411.91</v>
      </c>
      <c r="F449" s="76"/>
    </row>
    <row r="450" spans="2:6">
      <c r="B450" s="73">
        <v>42726</v>
      </c>
      <c r="C450" s="74">
        <v>110815.5</v>
      </c>
      <c r="D450" s="73">
        <v>42584</v>
      </c>
      <c r="E450" s="74">
        <v>-411.91</v>
      </c>
      <c r="F450" s="76"/>
    </row>
    <row r="451" spans="2:6">
      <c r="B451" s="73">
        <v>42726</v>
      </c>
      <c r="C451" s="74">
        <v>-13367.1</v>
      </c>
      <c r="D451" s="73">
        <v>42585</v>
      </c>
      <c r="E451" s="74">
        <v>-10633.47</v>
      </c>
      <c r="F451" s="76"/>
    </row>
    <row r="452" spans="2:6">
      <c r="B452" s="73">
        <v>42726</v>
      </c>
      <c r="C452" s="74">
        <v>153193</v>
      </c>
      <c r="D452" s="73">
        <v>42585</v>
      </c>
      <c r="E452" s="74">
        <v>-4214.97</v>
      </c>
      <c r="F452" s="76"/>
    </row>
    <row r="453" spans="2:6">
      <c r="B453" s="73">
        <v>42727</v>
      </c>
      <c r="C453" s="74">
        <v>-2272.85</v>
      </c>
      <c r="D453" s="73">
        <v>42585</v>
      </c>
      <c r="E453" s="74">
        <v>4919.88</v>
      </c>
      <c r="F453" s="76"/>
    </row>
    <row r="454" spans="2:6">
      <c r="B454" s="73">
        <v>42727</v>
      </c>
      <c r="C454" s="74">
        <v>1393.05</v>
      </c>
      <c r="D454" s="73">
        <v>42585</v>
      </c>
      <c r="E454" s="74">
        <v>-262.37</v>
      </c>
      <c r="F454" s="76"/>
    </row>
    <row r="455" spans="2:6">
      <c r="B455" s="73">
        <v>42727</v>
      </c>
      <c r="C455" s="74">
        <v>34026.79</v>
      </c>
      <c r="D455" s="73">
        <v>42585</v>
      </c>
      <c r="E455" s="74">
        <v>129.57</v>
      </c>
      <c r="F455" s="76"/>
    </row>
    <row r="456" spans="2:6">
      <c r="B456" s="73">
        <v>42727</v>
      </c>
      <c r="C456" s="74">
        <v>12389.6</v>
      </c>
      <c r="D456" s="73">
        <v>42586</v>
      </c>
      <c r="E456" s="74">
        <v>-52396.14</v>
      </c>
      <c r="F456" s="76"/>
    </row>
    <row r="457" spans="2:6">
      <c r="B457" s="73">
        <v>42727</v>
      </c>
      <c r="C457" s="74">
        <v>170213.45</v>
      </c>
      <c r="D457" s="73">
        <v>42586</v>
      </c>
      <c r="E457" s="74">
        <v>81240.73</v>
      </c>
      <c r="F457" s="76"/>
    </row>
    <row r="458" spans="2:6">
      <c r="B458" s="73">
        <v>42727</v>
      </c>
      <c r="C458" s="74">
        <v>1030376.09</v>
      </c>
      <c r="D458" s="73">
        <v>42586</v>
      </c>
      <c r="E458" s="74">
        <v>79540.66</v>
      </c>
      <c r="F458" s="76"/>
    </row>
    <row r="459" spans="2:6">
      <c r="B459" s="73">
        <v>42727</v>
      </c>
      <c r="C459" s="74">
        <v>372268</v>
      </c>
      <c r="D459" s="73">
        <v>42587</v>
      </c>
      <c r="E459" s="74">
        <v>-26938.03</v>
      </c>
      <c r="F459" s="76"/>
    </row>
    <row r="460" spans="2:6">
      <c r="B460" s="73">
        <v>42727</v>
      </c>
      <c r="C460" s="74">
        <v>14063.25</v>
      </c>
      <c r="D460" s="73">
        <v>42587</v>
      </c>
      <c r="E460" s="74">
        <v>5839.47</v>
      </c>
      <c r="F460" s="76"/>
    </row>
    <row r="461" spans="2:6">
      <c r="B461" s="73">
        <v>42727</v>
      </c>
      <c r="C461" s="74">
        <v>24970.799999999999</v>
      </c>
      <c r="D461" s="73">
        <v>42590</v>
      </c>
      <c r="E461" s="74">
        <v>-2848.76</v>
      </c>
      <c r="F461" s="76"/>
    </row>
    <row r="462" spans="2:6">
      <c r="B462" s="73">
        <v>42730</v>
      </c>
      <c r="C462" s="74">
        <v>140994.57</v>
      </c>
      <c r="D462" s="73">
        <v>42590</v>
      </c>
      <c r="E462" s="74">
        <v>317777.12</v>
      </c>
      <c r="F462" s="76"/>
    </row>
    <row r="463" spans="2:6">
      <c r="B463" s="73">
        <v>42730</v>
      </c>
      <c r="C463" s="74">
        <v>83474.98</v>
      </c>
      <c r="D463" s="73">
        <v>42590</v>
      </c>
      <c r="E463" s="74">
        <v>31412.080000000002</v>
      </c>
      <c r="F463" s="76"/>
    </row>
    <row r="464" spans="2:6">
      <c r="B464" s="73">
        <v>42731</v>
      </c>
      <c r="C464" s="74">
        <v>72817.399999999994</v>
      </c>
      <c r="D464" s="73">
        <v>42590</v>
      </c>
      <c r="E464" s="74">
        <v>-2343.5300000000002</v>
      </c>
      <c r="F464" s="76"/>
    </row>
    <row r="465" spans="2:6">
      <c r="B465" s="73">
        <v>42731</v>
      </c>
      <c r="C465" s="74">
        <v>12343.75</v>
      </c>
      <c r="D465" s="73">
        <v>42591</v>
      </c>
      <c r="E465" s="74">
        <v>71155.23</v>
      </c>
      <c r="F465" s="76"/>
    </row>
    <row r="466" spans="2:6">
      <c r="B466" s="73">
        <v>42732</v>
      </c>
      <c r="C466" s="74">
        <v>858231.39</v>
      </c>
      <c r="D466" s="73">
        <v>42591</v>
      </c>
      <c r="E466" s="74">
        <v>-38933.96</v>
      </c>
      <c r="F466" s="76"/>
    </row>
    <row r="467" spans="2:6">
      <c r="B467" s="73">
        <v>42732</v>
      </c>
      <c r="C467" s="74">
        <v>374978.21</v>
      </c>
      <c r="D467" s="73">
        <v>42591</v>
      </c>
      <c r="E467" s="74">
        <v>2.44</v>
      </c>
      <c r="F467" s="76"/>
    </row>
    <row r="468" spans="2:6">
      <c r="B468" s="73">
        <v>42732</v>
      </c>
      <c r="C468" s="74">
        <v>989816</v>
      </c>
      <c r="D468" s="73">
        <v>42592</v>
      </c>
      <c r="E468" s="74">
        <v>2965.66</v>
      </c>
      <c r="F468" s="76"/>
    </row>
    <row r="469" spans="2:6">
      <c r="B469" s="73">
        <v>42732</v>
      </c>
      <c r="C469" s="74">
        <v>58286.8</v>
      </c>
      <c r="D469" s="73">
        <v>42592</v>
      </c>
      <c r="E469" s="74">
        <v>-5100.71</v>
      </c>
      <c r="F469" s="76"/>
    </row>
    <row r="470" spans="2:6">
      <c r="B470" s="73">
        <v>42732</v>
      </c>
      <c r="C470" s="74">
        <v>12118.13</v>
      </c>
      <c r="D470" s="73">
        <v>42592</v>
      </c>
      <c r="E470" s="74">
        <v>-11350.45</v>
      </c>
      <c r="F470" s="76"/>
    </row>
    <row r="471" spans="2:6">
      <c r="B471" s="73">
        <v>42732</v>
      </c>
      <c r="C471" s="74">
        <v>84768.99</v>
      </c>
      <c r="D471" s="73">
        <v>42592</v>
      </c>
      <c r="E471" s="74">
        <v>383427.28</v>
      </c>
      <c r="F471" s="76"/>
    </row>
    <row r="472" spans="2:6">
      <c r="B472" s="73">
        <v>42732</v>
      </c>
      <c r="C472" s="74">
        <v>202865</v>
      </c>
      <c r="D472" s="73">
        <v>42593</v>
      </c>
      <c r="E472" s="74">
        <v>-2369.69</v>
      </c>
      <c r="F472" s="76"/>
    </row>
    <row r="473" spans="2:6">
      <c r="B473" s="73">
        <v>42732</v>
      </c>
      <c r="C473" s="74">
        <v>24258.76</v>
      </c>
      <c r="D473" s="73">
        <v>42593</v>
      </c>
      <c r="E473" s="74">
        <v>60809.77</v>
      </c>
      <c r="F473" s="76"/>
    </row>
    <row r="474" spans="2:6">
      <c r="B474" s="73">
        <v>42732</v>
      </c>
      <c r="C474" s="74">
        <v>326861.34000000003</v>
      </c>
      <c r="D474" s="73">
        <v>42593</v>
      </c>
      <c r="E474" s="74">
        <v>-481.15</v>
      </c>
      <c r="F474" s="76"/>
    </row>
    <row r="475" spans="2:6">
      <c r="B475" s="73">
        <v>42732</v>
      </c>
      <c r="C475" s="74">
        <v>5888.75</v>
      </c>
      <c r="D475" s="73">
        <v>42593</v>
      </c>
      <c r="E475" s="74">
        <v>-14446.42</v>
      </c>
      <c r="F475" s="76"/>
    </row>
    <row r="476" spans="2:6">
      <c r="B476" s="73">
        <v>42732</v>
      </c>
      <c r="C476" s="74">
        <v>65045.8</v>
      </c>
      <c r="D476" s="73">
        <v>42593</v>
      </c>
      <c r="E476" s="74">
        <v>-56.46</v>
      </c>
      <c r="F476" s="76"/>
    </row>
    <row r="477" spans="2:6">
      <c r="B477" s="73">
        <v>42732</v>
      </c>
      <c r="C477" s="74">
        <v>3555.99</v>
      </c>
      <c r="D477" s="73">
        <v>42594</v>
      </c>
      <c r="E477" s="74">
        <v>-221.53</v>
      </c>
      <c r="F477" s="76"/>
    </row>
    <row r="478" spans="2:6">
      <c r="B478" s="73">
        <v>42732</v>
      </c>
      <c r="C478" s="74">
        <v>8809.01</v>
      </c>
      <c r="D478" s="73">
        <v>42594</v>
      </c>
      <c r="E478" s="74">
        <v>-3728.28</v>
      </c>
      <c r="F478" s="76"/>
    </row>
    <row r="479" spans="2:6">
      <c r="B479" s="73">
        <v>42732</v>
      </c>
      <c r="C479" s="74">
        <v>1339734.4099999999</v>
      </c>
      <c r="D479" s="73">
        <v>42594</v>
      </c>
      <c r="E479" s="74">
        <v>-13898.97</v>
      </c>
      <c r="F479" s="76"/>
    </row>
    <row r="480" spans="2:6">
      <c r="B480" s="73">
        <v>42732</v>
      </c>
      <c r="C480" s="74">
        <v>16154.75</v>
      </c>
      <c r="D480" s="73">
        <v>42594</v>
      </c>
      <c r="E480" s="74">
        <v>720.02</v>
      </c>
      <c r="F480" s="76"/>
    </row>
    <row r="481" spans="2:6">
      <c r="B481" s="73">
        <v>42732</v>
      </c>
      <c r="C481" s="74">
        <v>100079.62</v>
      </c>
      <c r="D481" s="73">
        <v>42597</v>
      </c>
      <c r="E481" s="74">
        <v>-1871.9</v>
      </c>
      <c r="F481" s="76"/>
    </row>
    <row r="482" spans="2:6">
      <c r="B482" s="73">
        <v>42744</v>
      </c>
      <c r="C482" s="74">
        <v>107379</v>
      </c>
      <c r="D482" s="73">
        <v>42597</v>
      </c>
      <c r="E482" s="74">
        <v>242665.86</v>
      </c>
      <c r="F482" s="76"/>
    </row>
    <row r="483" spans="2:6">
      <c r="B483" s="73">
        <v>42745</v>
      </c>
      <c r="C483" s="74">
        <v>303048</v>
      </c>
      <c r="D483" s="73">
        <v>42597</v>
      </c>
      <c r="E483" s="74">
        <v>-4458.42</v>
      </c>
      <c r="F483" s="76"/>
    </row>
    <row r="484" spans="2:6">
      <c r="B484" s="73">
        <v>42760</v>
      </c>
      <c r="C484" s="74">
        <v>1521.3</v>
      </c>
      <c r="D484" s="73">
        <v>42597</v>
      </c>
      <c r="E484" s="74">
        <v>-9423.69</v>
      </c>
      <c r="F484" s="76"/>
    </row>
    <row r="485" spans="2:6">
      <c r="B485" s="73">
        <v>42760</v>
      </c>
      <c r="C485" s="74">
        <v>34255</v>
      </c>
      <c r="D485" s="73">
        <v>42597</v>
      </c>
      <c r="E485" s="74">
        <v>5063.26</v>
      </c>
      <c r="F485" s="76"/>
    </row>
    <row r="486" spans="2:6">
      <c r="B486" s="73">
        <v>42760</v>
      </c>
      <c r="C486" s="74">
        <v>422561.19</v>
      </c>
      <c r="D486" s="73">
        <v>42598</v>
      </c>
      <c r="E486" s="74">
        <v>-234.65</v>
      </c>
      <c r="F486" s="76"/>
    </row>
    <row r="487" spans="2:6">
      <c r="B487" s="73">
        <v>42760</v>
      </c>
      <c r="C487" s="74">
        <v>154318.20000000001</v>
      </c>
      <c r="D487" s="73">
        <v>42598</v>
      </c>
      <c r="E487" s="74">
        <v>-234.65</v>
      </c>
      <c r="F487" s="76"/>
    </row>
    <row r="488" spans="2:6">
      <c r="B488" s="73">
        <v>42760</v>
      </c>
      <c r="C488" s="74">
        <v>323177.18</v>
      </c>
      <c r="D488" s="73">
        <v>42598</v>
      </c>
      <c r="E488" s="74">
        <v>-6851.71</v>
      </c>
      <c r="F488" s="76"/>
    </row>
    <row r="489" spans="2:6">
      <c r="B489" s="73">
        <v>42760</v>
      </c>
      <c r="C489" s="74">
        <v>15334.5</v>
      </c>
      <c r="D489" s="73">
        <v>42598</v>
      </c>
      <c r="E489" s="74">
        <v>6654.12</v>
      </c>
      <c r="F489" s="76"/>
    </row>
    <row r="490" spans="2:6">
      <c r="B490" s="73">
        <v>42760</v>
      </c>
      <c r="C490" s="74">
        <v>286945.7</v>
      </c>
      <c r="D490" s="73">
        <v>42599</v>
      </c>
      <c r="E490" s="74">
        <v>-7168.66</v>
      </c>
      <c r="F490" s="76"/>
    </row>
    <row r="491" spans="2:6">
      <c r="B491" s="73">
        <v>42760</v>
      </c>
      <c r="C491" s="74">
        <v>36413.699999999997</v>
      </c>
      <c r="D491" s="73">
        <v>42599</v>
      </c>
      <c r="E491" s="74">
        <v>10.130000000000001</v>
      </c>
      <c r="F491" s="76"/>
    </row>
    <row r="492" spans="2:6">
      <c r="B492" s="73">
        <v>42760</v>
      </c>
      <c r="C492" s="74">
        <v>3815.1</v>
      </c>
      <c r="D492" s="73">
        <v>42599</v>
      </c>
      <c r="E492" s="74">
        <v>2707.9</v>
      </c>
      <c r="F492" s="76"/>
    </row>
    <row r="493" spans="2:6">
      <c r="B493" s="73">
        <v>42760</v>
      </c>
      <c r="C493" s="74">
        <v>437067.19</v>
      </c>
      <c r="D493" s="73">
        <v>42600</v>
      </c>
      <c r="E493" s="74">
        <v>-5843.11</v>
      </c>
      <c r="F493" s="76"/>
    </row>
    <row r="494" spans="2:6">
      <c r="B494" s="73">
        <v>42760</v>
      </c>
      <c r="C494" s="74">
        <v>417896.28</v>
      </c>
      <c r="D494" s="73">
        <v>42600</v>
      </c>
      <c r="E494" s="74">
        <v>52199.65</v>
      </c>
      <c r="F494" s="76"/>
    </row>
    <row r="495" spans="2:6">
      <c r="B495" s="73">
        <v>42760</v>
      </c>
      <c r="C495" s="74">
        <v>586388.79</v>
      </c>
      <c r="D495" s="73">
        <v>42600</v>
      </c>
      <c r="E495" s="74">
        <v>-6166.2</v>
      </c>
      <c r="F495" s="76"/>
    </row>
    <row r="496" spans="2:6">
      <c r="B496" s="73">
        <v>42760</v>
      </c>
      <c r="C496" s="74">
        <v>-3975.85</v>
      </c>
      <c r="D496" s="73">
        <v>42601</v>
      </c>
      <c r="E496" s="74">
        <v>-1050.26</v>
      </c>
      <c r="F496" s="76"/>
    </row>
    <row r="497" spans="2:6">
      <c r="B497" s="73">
        <v>42760</v>
      </c>
      <c r="C497" s="74">
        <v>117272.1</v>
      </c>
      <c r="D497" s="73">
        <v>42601</v>
      </c>
      <c r="E497" s="74">
        <v>12271.3</v>
      </c>
      <c r="F497" s="76"/>
    </row>
    <row r="498" spans="2:6">
      <c r="B498" s="73">
        <v>42760</v>
      </c>
      <c r="C498" s="74">
        <v>75168.95</v>
      </c>
      <c r="D498" s="73">
        <v>42601</v>
      </c>
      <c r="E498" s="74">
        <v>961.07</v>
      </c>
      <c r="F498" s="76"/>
    </row>
    <row r="499" spans="2:6">
      <c r="B499" s="73">
        <v>42761</v>
      </c>
      <c r="C499" s="74">
        <v>7668.7</v>
      </c>
      <c r="D499" s="73">
        <v>42601</v>
      </c>
      <c r="E499" s="74">
        <v>-2098.36</v>
      </c>
      <c r="F499" s="76"/>
    </row>
    <row r="500" spans="2:6">
      <c r="B500" s="73">
        <v>42761</v>
      </c>
      <c r="C500" s="74">
        <v>742812.26</v>
      </c>
      <c r="D500" s="73">
        <v>42604</v>
      </c>
      <c r="E500" s="74">
        <v>-271.83999999999997</v>
      </c>
      <c r="F500" s="76"/>
    </row>
    <row r="501" spans="2:6">
      <c r="B501" s="73">
        <v>42761</v>
      </c>
      <c r="C501" s="74">
        <v>230929</v>
      </c>
      <c r="D501" s="73">
        <v>42604</v>
      </c>
      <c r="E501" s="74">
        <v>3708.89</v>
      </c>
      <c r="F501" s="76"/>
    </row>
    <row r="502" spans="2:6">
      <c r="B502" s="73">
        <v>42761</v>
      </c>
      <c r="C502" s="74">
        <v>61764.3</v>
      </c>
      <c r="D502" s="73">
        <v>42604</v>
      </c>
      <c r="E502" s="74">
        <v>-190.29</v>
      </c>
      <c r="F502" s="76"/>
    </row>
    <row r="503" spans="2:6">
      <c r="B503" s="73">
        <v>42761</v>
      </c>
      <c r="C503" s="74">
        <v>81168.75</v>
      </c>
      <c r="D503" s="73">
        <v>42605</v>
      </c>
      <c r="E503" s="74">
        <v>-2854.33</v>
      </c>
      <c r="F503" s="76"/>
    </row>
    <row r="504" spans="2:6">
      <c r="B504" s="73">
        <v>42761</v>
      </c>
      <c r="C504" s="74">
        <v>60987.7</v>
      </c>
      <c r="D504" s="73">
        <v>42605</v>
      </c>
      <c r="E504" s="74">
        <v>13659.8</v>
      </c>
      <c r="F504" s="76"/>
    </row>
    <row r="505" spans="2:6">
      <c r="B505" s="73">
        <v>42761</v>
      </c>
      <c r="C505" s="74">
        <v>8755.9</v>
      </c>
      <c r="D505" s="73">
        <v>42606</v>
      </c>
      <c r="E505" s="74">
        <v>13322.12</v>
      </c>
      <c r="F505" s="76"/>
    </row>
    <row r="506" spans="2:6">
      <c r="B506" s="73">
        <v>42761</v>
      </c>
      <c r="C506" s="74">
        <v>492117</v>
      </c>
      <c r="D506" s="73">
        <v>42606</v>
      </c>
      <c r="E506" s="74">
        <v>-3628.81</v>
      </c>
      <c r="F506" s="76"/>
    </row>
    <row r="507" spans="2:6">
      <c r="B507" s="73">
        <v>42761</v>
      </c>
      <c r="C507" s="74">
        <v>-5959.45</v>
      </c>
      <c r="D507" s="73">
        <v>42606</v>
      </c>
      <c r="E507" s="74">
        <v>5140.53</v>
      </c>
      <c r="F507" s="76"/>
    </row>
    <row r="508" spans="2:6">
      <c r="B508" s="73">
        <v>42761</v>
      </c>
      <c r="C508" s="74">
        <v>-5607.4</v>
      </c>
      <c r="D508" s="73">
        <v>42606</v>
      </c>
      <c r="E508" s="74">
        <v>-50530.35</v>
      </c>
      <c r="F508" s="76"/>
    </row>
    <row r="509" spans="2:6">
      <c r="B509" s="73">
        <v>42761</v>
      </c>
      <c r="C509" s="74">
        <v>28058.35</v>
      </c>
      <c r="D509" s="73">
        <v>42607</v>
      </c>
      <c r="E509" s="74">
        <v>5953.79</v>
      </c>
      <c r="F509" s="76"/>
    </row>
    <row r="510" spans="2:6">
      <c r="B510" s="73">
        <v>42761</v>
      </c>
      <c r="C510" s="74">
        <v>393352.95</v>
      </c>
      <c r="D510" s="73">
        <v>42607</v>
      </c>
      <c r="E510" s="74">
        <v>-782.95</v>
      </c>
      <c r="F510" s="76"/>
    </row>
    <row r="511" spans="2:6">
      <c r="B511" s="73">
        <v>42761</v>
      </c>
      <c r="C511" s="74">
        <v>107325.6</v>
      </c>
      <c r="D511" s="73">
        <v>42607</v>
      </c>
      <c r="E511" s="74">
        <v>-389.81</v>
      </c>
      <c r="F511" s="76"/>
    </row>
    <row r="512" spans="2:6">
      <c r="B512" s="73">
        <v>42761</v>
      </c>
      <c r="C512" s="74">
        <v>17112.2</v>
      </c>
      <c r="D512" s="73">
        <v>42607</v>
      </c>
      <c r="E512" s="74">
        <v>15371.95</v>
      </c>
      <c r="F512" s="76"/>
    </row>
    <row r="513" spans="2:6">
      <c r="B513" s="73">
        <v>42761</v>
      </c>
      <c r="C513" s="74">
        <v>-18920.509999999998</v>
      </c>
      <c r="D513" s="73">
        <v>42607</v>
      </c>
      <c r="E513" s="74">
        <v>-6033.47</v>
      </c>
      <c r="F513" s="76"/>
    </row>
    <row r="514" spans="2:6">
      <c r="B514" s="73">
        <v>42761</v>
      </c>
      <c r="C514" s="74">
        <v>217562.16</v>
      </c>
      <c r="D514" s="73">
        <v>42608</v>
      </c>
      <c r="E514" s="74">
        <v>-157870.59</v>
      </c>
      <c r="F514" s="76"/>
    </row>
    <row r="515" spans="2:6">
      <c r="B515" s="73">
        <v>42761</v>
      </c>
      <c r="C515" s="74">
        <v>100875.5</v>
      </c>
      <c r="D515" s="73">
        <v>42608</v>
      </c>
      <c r="E515" s="74">
        <v>-305.08</v>
      </c>
      <c r="F515" s="76"/>
    </row>
    <row r="516" spans="2:6">
      <c r="B516" s="73">
        <v>42761</v>
      </c>
      <c r="C516" s="74">
        <v>21265.5</v>
      </c>
      <c r="D516" s="73">
        <v>42608</v>
      </c>
      <c r="E516" s="74">
        <v>160065.62</v>
      </c>
      <c r="F516" s="76"/>
    </row>
    <row r="517" spans="2:6">
      <c r="B517" s="73">
        <v>42761</v>
      </c>
      <c r="C517" s="74">
        <v>8147.5</v>
      </c>
      <c r="D517" s="73">
        <v>42608</v>
      </c>
      <c r="E517" s="74">
        <v>-3717.77</v>
      </c>
      <c r="F517" s="76"/>
    </row>
    <row r="518" spans="2:6">
      <c r="B518" s="73">
        <v>42761</v>
      </c>
      <c r="C518" s="74">
        <v>1045526.27</v>
      </c>
      <c r="D518" s="73">
        <v>42611</v>
      </c>
      <c r="E518" s="74">
        <v>-1852.07</v>
      </c>
      <c r="F518" s="76"/>
    </row>
    <row r="519" spans="2:6">
      <c r="B519" s="73">
        <v>42761</v>
      </c>
      <c r="C519" s="74">
        <v>495069.41</v>
      </c>
      <c r="D519" s="73">
        <v>42611</v>
      </c>
      <c r="E519" s="74">
        <v>12.35</v>
      </c>
      <c r="F519" s="76"/>
    </row>
    <row r="520" spans="2:6">
      <c r="B520" s="73">
        <v>42761</v>
      </c>
      <c r="C520" s="74">
        <v>260434.4</v>
      </c>
      <c r="D520" s="73">
        <v>42611</v>
      </c>
      <c r="E520" s="74">
        <v>3693.56</v>
      </c>
      <c r="F520" s="76"/>
    </row>
    <row r="521" spans="2:6">
      <c r="B521" s="73">
        <v>42761</v>
      </c>
      <c r="C521" s="74">
        <v>966664.78</v>
      </c>
      <c r="D521" s="73">
        <v>42611</v>
      </c>
      <c r="E521" s="74">
        <v>-302.18</v>
      </c>
      <c r="F521" s="76"/>
    </row>
    <row r="522" spans="2:6">
      <c r="B522" s="73">
        <v>42761</v>
      </c>
      <c r="C522" s="74">
        <v>33219.9</v>
      </c>
      <c r="D522" s="73">
        <v>42612</v>
      </c>
      <c r="E522" s="74">
        <v>49117.96</v>
      </c>
      <c r="F522" s="76"/>
    </row>
    <row r="523" spans="2:6">
      <c r="B523" s="73">
        <v>42762</v>
      </c>
      <c r="C523" s="74">
        <v>37457</v>
      </c>
      <c r="D523" s="73">
        <v>42612</v>
      </c>
      <c r="E523" s="74">
        <v>-2817.48</v>
      </c>
      <c r="F523" s="76"/>
    </row>
    <row r="524" spans="2:6">
      <c r="B524" s="73">
        <v>42762</v>
      </c>
      <c r="C524" s="74">
        <v>310104</v>
      </c>
      <c r="D524" s="73">
        <v>42612</v>
      </c>
      <c r="E524" s="74">
        <v>-13237.76</v>
      </c>
      <c r="F524" s="76"/>
    </row>
    <row r="525" spans="2:6">
      <c r="B525" s="73">
        <v>42765</v>
      </c>
      <c r="C525" s="74">
        <v>-2050.25</v>
      </c>
      <c r="D525" s="73">
        <v>42613</v>
      </c>
      <c r="E525" s="74">
        <v>-5325.41</v>
      </c>
      <c r="F525" s="76"/>
    </row>
    <row r="526" spans="2:6">
      <c r="B526" s="73">
        <v>42765</v>
      </c>
      <c r="C526" s="74">
        <v>132336</v>
      </c>
      <c r="D526" s="73">
        <v>42613</v>
      </c>
      <c r="E526" s="74">
        <v>-4269.96</v>
      </c>
      <c r="F526" s="76"/>
    </row>
    <row r="527" spans="2:6">
      <c r="B527" s="73">
        <v>42765</v>
      </c>
      <c r="C527" s="74">
        <v>-390.05</v>
      </c>
      <c r="D527" s="73">
        <v>42613</v>
      </c>
      <c r="E527" s="74">
        <v>3337.04</v>
      </c>
      <c r="F527" s="76"/>
    </row>
    <row r="528" spans="2:6">
      <c r="B528" s="73">
        <v>42765</v>
      </c>
      <c r="C528" s="74">
        <v>24153</v>
      </c>
      <c r="D528" s="73">
        <v>42613</v>
      </c>
      <c r="E528" s="74">
        <v>1952.9</v>
      </c>
      <c r="F528" s="76"/>
    </row>
    <row r="529" spans="2:6">
      <c r="B529" s="73">
        <v>42766</v>
      </c>
      <c r="C529" s="74">
        <v>40782.800000000003</v>
      </c>
      <c r="D529" s="73">
        <v>42613</v>
      </c>
      <c r="E529" s="74">
        <v>-1592.48</v>
      </c>
      <c r="F529" s="76"/>
    </row>
    <row r="530" spans="2:6">
      <c r="B530" s="73">
        <v>42766</v>
      </c>
      <c r="C530" s="74">
        <v>7666.4</v>
      </c>
      <c r="D530" s="73">
        <v>42613</v>
      </c>
      <c r="E530" s="74">
        <v>4037.92</v>
      </c>
      <c r="F530" s="76"/>
    </row>
    <row r="531" spans="2:6">
      <c r="B531" s="73">
        <v>42766</v>
      </c>
      <c r="C531" s="74">
        <v>7666.4</v>
      </c>
      <c r="D531" s="73">
        <v>42613</v>
      </c>
      <c r="E531" s="74">
        <v>10596.39</v>
      </c>
      <c r="F531" s="76"/>
    </row>
    <row r="532" spans="2:6">
      <c r="B532" s="73">
        <v>42766</v>
      </c>
      <c r="C532" s="74">
        <v>17626.400000000001</v>
      </c>
      <c r="D532" s="73">
        <v>42613</v>
      </c>
      <c r="E532" s="74">
        <v>-134.86000000000001</v>
      </c>
      <c r="F532" s="76"/>
    </row>
    <row r="533" spans="2:6">
      <c r="B533" s="73">
        <v>42766</v>
      </c>
      <c r="C533" s="74">
        <v>45419.01</v>
      </c>
      <c r="D533" s="73">
        <v>42613</v>
      </c>
      <c r="E533" s="74">
        <v>-2701.33</v>
      </c>
      <c r="F533" s="76"/>
    </row>
    <row r="534" spans="2:6">
      <c r="B534" s="73">
        <v>42766</v>
      </c>
      <c r="C534" s="74">
        <v>1157.5999999999999</v>
      </c>
      <c r="D534" s="73">
        <v>42613</v>
      </c>
      <c r="E534" s="74">
        <v>-3109</v>
      </c>
      <c r="F534" s="76"/>
    </row>
    <row r="535" spans="2:6">
      <c r="B535" s="73">
        <v>42766</v>
      </c>
      <c r="C535" s="74">
        <v>12969.61</v>
      </c>
      <c r="D535" s="73">
        <v>42615</v>
      </c>
      <c r="E535" s="74">
        <v>-337.14</v>
      </c>
      <c r="F535" s="76"/>
    </row>
    <row r="536" spans="2:6">
      <c r="B536" s="73">
        <v>42766</v>
      </c>
      <c r="C536" s="74">
        <v>15987</v>
      </c>
      <c r="D536" s="73">
        <v>42615</v>
      </c>
      <c r="E536" s="74">
        <v>20397.07</v>
      </c>
      <c r="F536" s="76"/>
    </row>
    <row r="537" spans="2:6">
      <c r="B537" s="73">
        <v>42766</v>
      </c>
      <c r="C537" s="74">
        <v>1328.3</v>
      </c>
      <c r="D537" s="73">
        <v>42615</v>
      </c>
      <c r="E537" s="74">
        <v>10068.52</v>
      </c>
      <c r="F537" s="76"/>
    </row>
    <row r="538" spans="2:6">
      <c r="B538" s="73">
        <v>42767</v>
      </c>
      <c r="C538" s="74">
        <v>13268.1</v>
      </c>
      <c r="D538" s="73">
        <v>42615</v>
      </c>
      <c r="E538" s="74">
        <v>-3445.59</v>
      </c>
      <c r="F538" s="76"/>
    </row>
    <row r="539" spans="2:6">
      <c r="B539" s="73">
        <v>42767</v>
      </c>
      <c r="C539" s="74">
        <v>13275.9</v>
      </c>
      <c r="D539" s="73">
        <v>42618</v>
      </c>
      <c r="E539" s="74">
        <v>-3832.9</v>
      </c>
      <c r="F539" s="76"/>
    </row>
    <row r="540" spans="2:6">
      <c r="B540" s="73">
        <v>42767</v>
      </c>
      <c r="C540" s="74">
        <v>26551.8</v>
      </c>
      <c r="D540" s="73">
        <v>42618</v>
      </c>
      <c r="E540" s="74">
        <v>12384.67</v>
      </c>
      <c r="F540" s="76"/>
    </row>
    <row r="541" spans="2:6">
      <c r="B541" s="73">
        <v>42767</v>
      </c>
      <c r="C541" s="74">
        <v>-2397.1</v>
      </c>
      <c r="D541" s="73">
        <v>42618</v>
      </c>
      <c r="E541" s="74">
        <v>674.28</v>
      </c>
      <c r="F541" s="76"/>
    </row>
    <row r="542" spans="2:6">
      <c r="B542" s="73">
        <v>42767</v>
      </c>
      <c r="C542" s="74">
        <v>167418</v>
      </c>
      <c r="D542" s="73">
        <v>42618</v>
      </c>
      <c r="E542" s="74">
        <v>-7579.95</v>
      </c>
      <c r="F542" s="76"/>
    </row>
    <row r="543" spans="2:6">
      <c r="B543" s="73">
        <v>42767</v>
      </c>
      <c r="C543" s="74">
        <v>28268</v>
      </c>
      <c r="D543" s="73">
        <v>42619</v>
      </c>
      <c r="E543" s="74">
        <v>-3893.55</v>
      </c>
      <c r="F543" s="76"/>
    </row>
    <row r="544" spans="2:6">
      <c r="B544" s="73">
        <v>42768</v>
      </c>
      <c r="C544" s="74">
        <v>-2481</v>
      </c>
      <c r="D544" s="73">
        <v>42619</v>
      </c>
      <c r="E544" s="74">
        <v>-66641.02</v>
      </c>
      <c r="F544" s="76"/>
    </row>
    <row r="545" spans="2:6">
      <c r="B545" s="73">
        <v>42768</v>
      </c>
      <c r="C545" s="74">
        <v>-511.2</v>
      </c>
      <c r="D545" s="73">
        <v>42619</v>
      </c>
      <c r="E545" s="74">
        <v>985.33</v>
      </c>
      <c r="F545" s="76"/>
    </row>
    <row r="546" spans="2:6">
      <c r="B546" s="73">
        <v>42768</v>
      </c>
      <c r="C546" s="74">
        <v>-171.9</v>
      </c>
      <c r="D546" s="73">
        <v>42619</v>
      </c>
      <c r="E546" s="74">
        <v>10597.4</v>
      </c>
      <c r="F546" s="76"/>
    </row>
    <row r="547" spans="2:6">
      <c r="B547" s="73">
        <v>42768</v>
      </c>
      <c r="C547" s="74">
        <v>15024.1</v>
      </c>
      <c r="D547" s="73">
        <v>42620</v>
      </c>
      <c r="E547" s="74">
        <v>-7691.64</v>
      </c>
      <c r="F547" s="76"/>
    </row>
    <row r="548" spans="2:6">
      <c r="B548" s="73">
        <v>42768</v>
      </c>
      <c r="C548" s="74">
        <v>226.95</v>
      </c>
      <c r="D548" s="73">
        <v>42620</v>
      </c>
      <c r="E548" s="74">
        <v>-89652.31</v>
      </c>
      <c r="F548" s="76"/>
    </row>
    <row r="549" spans="2:6">
      <c r="B549" s="73">
        <v>42768</v>
      </c>
      <c r="C549" s="74">
        <v>18749.7</v>
      </c>
      <c r="D549" s="73">
        <v>42620</v>
      </c>
      <c r="E549" s="74">
        <v>-35935.67</v>
      </c>
      <c r="F549" s="76"/>
    </row>
    <row r="550" spans="2:6">
      <c r="B550" s="73">
        <v>42768</v>
      </c>
      <c r="C550" s="74">
        <v>30204.6</v>
      </c>
      <c r="D550" s="73">
        <v>42620</v>
      </c>
      <c r="E550" s="74">
        <v>7521.83</v>
      </c>
      <c r="F550" s="76"/>
    </row>
    <row r="551" spans="2:6">
      <c r="B551" s="73">
        <v>42768</v>
      </c>
      <c r="C551" s="74">
        <v>94639.25</v>
      </c>
      <c r="D551" s="73">
        <v>42620</v>
      </c>
      <c r="E551" s="74">
        <v>11029.97</v>
      </c>
      <c r="F551" s="76"/>
    </row>
    <row r="552" spans="2:6">
      <c r="B552" s="73">
        <v>42768</v>
      </c>
      <c r="C552" s="74">
        <v>180453.76000000001</v>
      </c>
      <c r="D552" s="73">
        <v>42621</v>
      </c>
      <c r="E552" s="74">
        <v>-10674.16</v>
      </c>
      <c r="F552" s="76"/>
    </row>
    <row r="553" spans="2:6">
      <c r="B553" s="73">
        <v>42768</v>
      </c>
      <c r="C553" s="74">
        <v>6686.5</v>
      </c>
      <c r="D553" s="73">
        <v>42621</v>
      </c>
      <c r="E553" s="74">
        <v>-333372.17</v>
      </c>
      <c r="F553" s="76"/>
    </row>
    <row r="554" spans="2:6">
      <c r="B554" s="73">
        <v>42768</v>
      </c>
      <c r="C554" s="74">
        <v>15824.5</v>
      </c>
      <c r="D554" s="73">
        <v>42621</v>
      </c>
      <c r="E554" s="74">
        <v>-181.83</v>
      </c>
      <c r="F554" s="76"/>
    </row>
    <row r="555" spans="2:6">
      <c r="B555" s="73">
        <v>42768</v>
      </c>
      <c r="C555" s="74">
        <v>1581.95</v>
      </c>
      <c r="D555" s="73">
        <v>42621</v>
      </c>
      <c r="E555" s="74">
        <v>3.56</v>
      </c>
      <c r="F555" s="76"/>
    </row>
    <row r="556" spans="2:6">
      <c r="B556" s="73">
        <v>42768</v>
      </c>
      <c r="C556" s="74">
        <v>7769.75</v>
      </c>
      <c r="D556" s="73">
        <v>42621</v>
      </c>
      <c r="E556" s="74">
        <v>54165.45</v>
      </c>
      <c r="F556" s="76"/>
    </row>
    <row r="557" spans="2:6">
      <c r="B557" s="73">
        <v>42768</v>
      </c>
      <c r="C557" s="74">
        <v>8467.1</v>
      </c>
      <c r="D557" s="73">
        <v>42622</v>
      </c>
      <c r="E557" s="74">
        <v>-15409.12</v>
      </c>
      <c r="F557" s="76"/>
    </row>
    <row r="558" spans="2:6">
      <c r="B558" s="73">
        <v>42768</v>
      </c>
      <c r="C558" s="74">
        <v>105861.96</v>
      </c>
      <c r="D558" s="73">
        <v>42622</v>
      </c>
      <c r="E558" s="74">
        <v>-161.19999999999999</v>
      </c>
      <c r="F558" s="76"/>
    </row>
    <row r="559" spans="2:6">
      <c r="B559" s="73">
        <v>42768</v>
      </c>
      <c r="C559" s="74">
        <v>43896.62</v>
      </c>
      <c r="D559" s="73">
        <v>42622</v>
      </c>
      <c r="E559" s="74">
        <v>-2757091.32</v>
      </c>
      <c r="F559" s="76"/>
    </row>
    <row r="560" spans="2:6">
      <c r="B560" s="73">
        <v>42772</v>
      </c>
      <c r="C560" s="74">
        <v>1046351.49</v>
      </c>
      <c r="D560" s="73">
        <v>42622</v>
      </c>
      <c r="E560" s="74">
        <v>-135905.70000000001</v>
      </c>
      <c r="F560" s="76"/>
    </row>
    <row r="561" spans="2:6">
      <c r="B561" s="73">
        <v>42775</v>
      </c>
      <c r="C561" s="74">
        <v>158255.25</v>
      </c>
      <c r="D561" s="73">
        <v>42622</v>
      </c>
      <c r="E561" s="74">
        <v>3700.9</v>
      </c>
      <c r="F561" s="76"/>
    </row>
    <row r="562" spans="2:6">
      <c r="B562" s="73">
        <v>42775</v>
      </c>
      <c r="C562" s="74">
        <v>-340252.33</v>
      </c>
      <c r="D562" s="73">
        <v>42622</v>
      </c>
      <c r="E562" s="74">
        <v>10680.42</v>
      </c>
      <c r="F562" s="76"/>
    </row>
    <row r="563" spans="2:6">
      <c r="B563" s="73">
        <v>42775</v>
      </c>
      <c r="C563" s="74">
        <v>759327.99</v>
      </c>
      <c r="D563" s="73">
        <v>42622</v>
      </c>
      <c r="E563" s="74">
        <v>-804.79</v>
      </c>
      <c r="F563" s="76"/>
    </row>
    <row r="564" spans="2:6">
      <c r="B564" s="73">
        <v>42775</v>
      </c>
      <c r="C564" s="74">
        <v>74598</v>
      </c>
      <c r="D564" s="73">
        <v>42622</v>
      </c>
      <c r="E564" s="74">
        <v>91965.34</v>
      </c>
      <c r="F564" s="76"/>
    </row>
    <row r="565" spans="2:6">
      <c r="B565" s="73">
        <v>42776</v>
      </c>
      <c r="C565" s="74">
        <v>890542.01</v>
      </c>
      <c r="D565" s="73">
        <v>42622</v>
      </c>
      <c r="E565" s="74">
        <v>1851.02</v>
      </c>
      <c r="F565" s="76"/>
    </row>
    <row r="566" spans="2:6">
      <c r="B566" s="73">
        <v>42776</v>
      </c>
      <c r="C566" s="74">
        <v>-48406.02</v>
      </c>
      <c r="D566" s="73">
        <v>42622</v>
      </c>
      <c r="E566" s="74">
        <v>83.52</v>
      </c>
      <c r="F566" s="76"/>
    </row>
    <row r="567" spans="2:6">
      <c r="B567" s="73">
        <v>42779</v>
      </c>
      <c r="C567" s="74">
        <v>456859.92</v>
      </c>
      <c r="D567" s="73">
        <v>42622</v>
      </c>
      <c r="E567" s="74">
        <v>-83.52</v>
      </c>
      <c r="F567" s="76"/>
    </row>
    <row r="568" spans="2:6">
      <c r="B568" s="73">
        <v>42783</v>
      </c>
      <c r="C568" s="74">
        <v>-31710</v>
      </c>
      <c r="D568" s="73">
        <v>42629</v>
      </c>
      <c r="E568" s="74">
        <v>-57647.12</v>
      </c>
      <c r="F568" s="76"/>
    </row>
    <row r="569" spans="2:6">
      <c r="B569" s="73">
        <v>42783</v>
      </c>
      <c r="C569" s="74">
        <v>1806340</v>
      </c>
      <c r="D569" s="73">
        <v>42629</v>
      </c>
      <c r="E569" s="74">
        <v>335.92</v>
      </c>
      <c r="F569" s="76"/>
    </row>
    <row r="570" spans="2:6">
      <c r="B570" s="73">
        <v>42783</v>
      </c>
      <c r="C570" s="74">
        <v>34934.589999999997</v>
      </c>
      <c r="D570" s="73">
        <v>42629</v>
      </c>
      <c r="E570" s="74">
        <v>12474.27</v>
      </c>
      <c r="F570" s="76"/>
    </row>
    <row r="571" spans="2:6">
      <c r="B571" s="73">
        <v>42786</v>
      </c>
      <c r="C571" s="74">
        <v>70865.39</v>
      </c>
      <c r="D571" s="73">
        <v>42632</v>
      </c>
      <c r="E571" s="74">
        <v>18.7</v>
      </c>
      <c r="F571" s="76"/>
    </row>
    <row r="572" spans="2:6">
      <c r="B572" s="73">
        <v>42786</v>
      </c>
      <c r="C572" s="74">
        <v>-54449.59</v>
      </c>
      <c r="D572" s="73">
        <v>42632</v>
      </c>
      <c r="E572" s="74">
        <v>46.74</v>
      </c>
      <c r="F572" s="76"/>
    </row>
    <row r="573" spans="2:6">
      <c r="B573" s="73">
        <v>42787</v>
      </c>
      <c r="C573" s="74">
        <v>-76632.75</v>
      </c>
      <c r="D573" s="73">
        <v>42632</v>
      </c>
      <c r="E573" s="74">
        <v>-1803.45</v>
      </c>
      <c r="F573" s="76"/>
    </row>
    <row r="574" spans="2:6">
      <c r="B574" s="73">
        <v>42787</v>
      </c>
      <c r="C574" s="74">
        <v>58750</v>
      </c>
      <c r="D574" s="73">
        <v>42632</v>
      </c>
      <c r="E574" s="74">
        <v>-186.95</v>
      </c>
      <c r="F574" s="76"/>
    </row>
    <row r="575" spans="2:6">
      <c r="B575" s="73">
        <v>42787</v>
      </c>
      <c r="C575" s="74">
        <v>-136306.25</v>
      </c>
      <c r="D575" s="73">
        <v>42632</v>
      </c>
      <c r="E575" s="74">
        <v>421.03</v>
      </c>
      <c r="F575" s="76"/>
    </row>
    <row r="576" spans="2:6">
      <c r="B576" s="73">
        <v>42787</v>
      </c>
      <c r="C576" s="74">
        <v>-1337135.82</v>
      </c>
      <c r="D576" s="73">
        <v>42632</v>
      </c>
      <c r="E576" s="74">
        <v>-150.32</v>
      </c>
      <c r="F576" s="76"/>
    </row>
    <row r="577" spans="2:6">
      <c r="B577" s="73">
        <v>42787</v>
      </c>
      <c r="C577" s="74">
        <v>-460792.4</v>
      </c>
      <c r="D577" s="73">
        <v>42632</v>
      </c>
      <c r="E577" s="74">
        <v>-794.54</v>
      </c>
      <c r="F577" s="76"/>
    </row>
    <row r="578" spans="2:6">
      <c r="B578" s="73">
        <v>42787</v>
      </c>
      <c r="C578" s="74">
        <v>-273908.83</v>
      </c>
      <c r="D578" s="73">
        <v>42633</v>
      </c>
      <c r="E578" s="74">
        <v>-49.76</v>
      </c>
      <c r="F578" s="76"/>
    </row>
    <row r="579" spans="2:6">
      <c r="B579" s="73">
        <v>42787</v>
      </c>
      <c r="C579" s="74">
        <v>-142125</v>
      </c>
      <c r="D579" s="73">
        <v>42633</v>
      </c>
      <c r="E579" s="74">
        <v>-10028.56</v>
      </c>
      <c r="F579" s="76"/>
    </row>
    <row r="580" spans="2:6">
      <c r="B580" s="73">
        <v>42787</v>
      </c>
      <c r="C580" s="74">
        <v>-66379.53</v>
      </c>
      <c r="D580" s="73">
        <v>42633</v>
      </c>
      <c r="E580" s="74">
        <v>768.3</v>
      </c>
      <c r="F580" s="76"/>
    </row>
    <row r="581" spans="2:6">
      <c r="B581" s="73">
        <v>42787</v>
      </c>
      <c r="C581" s="74">
        <v>-55919</v>
      </c>
      <c r="D581" s="73">
        <v>42633</v>
      </c>
      <c r="E581" s="74">
        <v>-458.72</v>
      </c>
      <c r="F581" s="76"/>
    </row>
    <row r="582" spans="2:6">
      <c r="B582" s="73">
        <v>42787</v>
      </c>
      <c r="C582" s="74">
        <v>671870</v>
      </c>
      <c r="D582" s="73">
        <v>42634</v>
      </c>
      <c r="E582" s="74">
        <v>-25063.95</v>
      </c>
      <c r="F582" s="76"/>
    </row>
    <row r="583" spans="2:6">
      <c r="B583" s="73">
        <v>42787</v>
      </c>
      <c r="C583" s="74">
        <v>704795</v>
      </c>
      <c r="D583" s="73">
        <v>42634</v>
      </c>
      <c r="E583" s="74">
        <v>-23827.32</v>
      </c>
      <c r="F583" s="76"/>
    </row>
    <row r="584" spans="2:6">
      <c r="B584" s="73">
        <v>42787</v>
      </c>
      <c r="C584" s="74">
        <v>688.65</v>
      </c>
      <c r="D584" s="73">
        <v>42635</v>
      </c>
      <c r="E584" s="74">
        <v>-201226.81</v>
      </c>
      <c r="F584" s="76"/>
    </row>
    <row r="585" spans="2:6">
      <c r="B585" s="73">
        <v>42788</v>
      </c>
      <c r="C585" s="74">
        <v>-28055.200000000001</v>
      </c>
      <c r="D585" s="73">
        <v>42635</v>
      </c>
      <c r="E585" s="74">
        <v>7669.17</v>
      </c>
      <c r="F585" s="76"/>
    </row>
    <row r="586" spans="2:6">
      <c r="B586" s="73">
        <v>42794</v>
      </c>
      <c r="C586" s="74">
        <v>869247.42</v>
      </c>
      <c r="D586" s="73">
        <v>42635</v>
      </c>
      <c r="E586" s="74">
        <v>-33232.33</v>
      </c>
      <c r="F586" s="76"/>
    </row>
    <row r="587" spans="2:6">
      <c r="B587" s="73">
        <v>42800</v>
      </c>
      <c r="C587" s="74">
        <v>24830</v>
      </c>
      <c r="D587" s="73">
        <v>42635</v>
      </c>
      <c r="E587" s="74">
        <v>4288.92</v>
      </c>
      <c r="F587" s="76"/>
    </row>
    <row r="588" spans="2:6">
      <c r="B588" s="73">
        <v>42804</v>
      </c>
      <c r="C588" s="74">
        <v>27770.7</v>
      </c>
      <c r="D588" s="73">
        <v>42636</v>
      </c>
      <c r="E588" s="74">
        <v>-5272.58</v>
      </c>
      <c r="F588" s="76"/>
    </row>
    <row r="589" spans="2:6">
      <c r="B589" s="73">
        <v>42807</v>
      </c>
      <c r="C589" s="74">
        <v>-263515.99</v>
      </c>
      <c r="D589" s="73">
        <v>42636</v>
      </c>
      <c r="E589" s="74">
        <v>20555.77</v>
      </c>
      <c r="F589" s="76"/>
    </row>
    <row r="590" spans="2:6">
      <c r="B590" s="73">
        <v>42809</v>
      </c>
      <c r="C590" s="74">
        <v>-49236.9</v>
      </c>
      <c r="D590" s="73">
        <v>42636</v>
      </c>
      <c r="E590" s="74">
        <v>-18372.82</v>
      </c>
      <c r="F590" s="76"/>
    </row>
    <row r="591" spans="2:6">
      <c r="B591" s="73">
        <v>42810</v>
      </c>
      <c r="C591" s="74">
        <v>-295968.84000000003</v>
      </c>
      <c r="D591" s="73">
        <v>42636</v>
      </c>
      <c r="E591" s="74">
        <v>-9539.89</v>
      </c>
      <c r="F591" s="76"/>
    </row>
    <row r="592" spans="2:6">
      <c r="B592" s="73">
        <v>42810</v>
      </c>
      <c r="C592" s="74">
        <v>-71486.149999999994</v>
      </c>
      <c r="D592" s="73">
        <v>42636</v>
      </c>
      <c r="E592" s="74">
        <v>33631.15</v>
      </c>
      <c r="F592" s="76"/>
    </row>
    <row r="593" spans="2:6">
      <c r="B593" s="73">
        <v>42810</v>
      </c>
      <c r="C593" s="74">
        <v>-121657.5</v>
      </c>
      <c r="D593" s="73">
        <v>42639</v>
      </c>
      <c r="E593" s="74">
        <v>-1906.96</v>
      </c>
      <c r="F593" s="76"/>
    </row>
    <row r="594" spans="2:6">
      <c r="B594" s="73">
        <v>42810</v>
      </c>
      <c r="C594" s="74">
        <v>-890805</v>
      </c>
      <c r="D594" s="73">
        <v>42639</v>
      </c>
      <c r="E594" s="74">
        <v>-123.74</v>
      </c>
      <c r="F594" s="76"/>
    </row>
    <row r="595" spans="2:6">
      <c r="B595" s="73">
        <v>42810</v>
      </c>
      <c r="C595" s="74">
        <v>-5738.2</v>
      </c>
      <c r="D595" s="73">
        <v>42639</v>
      </c>
      <c r="E595" s="74">
        <v>-52793.24</v>
      </c>
      <c r="F595" s="76"/>
    </row>
    <row r="596" spans="2:6">
      <c r="B596" s="73">
        <v>42811</v>
      </c>
      <c r="C596" s="74">
        <v>-131114.31</v>
      </c>
      <c r="D596" s="73">
        <v>42639</v>
      </c>
      <c r="E596" s="74">
        <v>-1397439.32</v>
      </c>
      <c r="F596" s="76"/>
    </row>
    <row r="597" spans="2:6">
      <c r="B597" s="73">
        <v>42811</v>
      </c>
      <c r="C597" s="74">
        <v>-1751.49</v>
      </c>
      <c r="D597" s="73">
        <v>42639</v>
      </c>
      <c r="E597" s="74">
        <v>3595.44</v>
      </c>
      <c r="F597" s="76"/>
    </row>
    <row r="598" spans="2:6">
      <c r="B598" s="73">
        <v>42815</v>
      </c>
      <c r="C598" s="74">
        <v>-4596.51</v>
      </c>
      <c r="D598" s="73">
        <v>42640</v>
      </c>
      <c r="E598" s="74">
        <v>15060.8</v>
      </c>
      <c r="F598" s="76"/>
    </row>
    <row r="599" spans="2:6">
      <c r="B599" s="73">
        <v>42815</v>
      </c>
      <c r="C599" s="74">
        <v>-62938.09</v>
      </c>
      <c r="D599" s="73">
        <v>42640</v>
      </c>
      <c r="E599" s="74">
        <v>-14471.63</v>
      </c>
      <c r="F599" s="76"/>
    </row>
    <row r="600" spans="2:6">
      <c r="B600" s="73">
        <v>42816</v>
      </c>
      <c r="C600" s="74">
        <v>-13723.3</v>
      </c>
      <c r="D600" s="73">
        <v>42640</v>
      </c>
      <c r="E600" s="74">
        <v>-15960.43</v>
      </c>
      <c r="F600" s="76"/>
    </row>
    <row r="601" spans="2:6">
      <c r="B601" s="73">
        <v>42816</v>
      </c>
      <c r="C601" s="74">
        <v>-13737.99</v>
      </c>
      <c r="D601" s="73">
        <v>42640</v>
      </c>
      <c r="E601" s="74">
        <v>1591.06</v>
      </c>
      <c r="F601" s="76"/>
    </row>
    <row r="602" spans="2:6">
      <c r="B602" s="73">
        <v>42816</v>
      </c>
      <c r="C602" s="74">
        <v>-1856.5</v>
      </c>
      <c r="D602" s="73">
        <v>42641</v>
      </c>
      <c r="E602" s="74">
        <v>38008.97</v>
      </c>
      <c r="F602" s="76"/>
    </row>
    <row r="603" spans="2:6">
      <c r="B603" s="73">
        <v>42816</v>
      </c>
      <c r="C603" s="74">
        <v>-64810</v>
      </c>
      <c r="D603" s="73">
        <v>42641</v>
      </c>
      <c r="E603" s="74">
        <v>-10578.36</v>
      </c>
      <c r="F603" s="76"/>
    </row>
    <row r="604" spans="2:6">
      <c r="B604" s="73">
        <v>42818</v>
      </c>
      <c r="C604" s="74">
        <v>-56046.2</v>
      </c>
      <c r="D604" s="73">
        <v>42641</v>
      </c>
      <c r="E604" s="74">
        <v>-25270.52</v>
      </c>
      <c r="F604" s="76"/>
    </row>
    <row r="605" spans="2:6">
      <c r="B605" s="73">
        <v>42818</v>
      </c>
      <c r="C605" s="74">
        <v>-40014</v>
      </c>
      <c r="D605" s="73">
        <v>42641</v>
      </c>
      <c r="E605" s="74">
        <v>-1068.28</v>
      </c>
      <c r="F605" s="76"/>
    </row>
    <row r="606" spans="2:6">
      <c r="B606" s="73">
        <v>42830</v>
      </c>
      <c r="C606" s="74">
        <v>-8980149.5999999996</v>
      </c>
      <c r="D606" s="73">
        <v>42641</v>
      </c>
      <c r="E606" s="74">
        <v>25893.33</v>
      </c>
      <c r="F606" s="76"/>
    </row>
    <row r="607" spans="2:6">
      <c r="B607" s="73">
        <v>42831</v>
      </c>
      <c r="C607" s="74">
        <v>-224704.24</v>
      </c>
      <c r="D607" s="73">
        <v>42642</v>
      </c>
      <c r="E607" s="74">
        <v>12411.16</v>
      </c>
      <c r="F607" s="76"/>
    </row>
    <row r="608" spans="2:6">
      <c r="B608" s="73">
        <v>42832</v>
      </c>
      <c r="C608" s="74">
        <v>108694.9</v>
      </c>
      <c r="D608" s="73">
        <v>42642</v>
      </c>
      <c r="E608" s="74">
        <v>-19990.900000000001</v>
      </c>
      <c r="F608" s="76"/>
    </row>
    <row r="609" spans="2:6">
      <c r="B609" s="73">
        <v>42835</v>
      </c>
      <c r="C609" s="74">
        <v>1580573.23</v>
      </c>
      <c r="D609" s="73">
        <v>42642</v>
      </c>
      <c r="E609" s="74">
        <v>233566.72</v>
      </c>
      <c r="F609" s="76"/>
    </row>
    <row r="610" spans="2:6">
      <c r="B610" s="73">
        <v>42835</v>
      </c>
      <c r="C610" s="74">
        <v>-2884.2</v>
      </c>
      <c r="D610" s="73">
        <v>42642</v>
      </c>
      <c r="E610" s="74">
        <v>-180686.84</v>
      </c>
      <c r="F610" s="76"/>
    </row>
    <row r="611" spans="2:6">
      <c r="B611" s="73">
        <v>42836</v>
      </c>
      <c r="C611" s="74">
        <v>87097.79</v>
      </c>
      <c r="D611" s="73">
        <v>42643</v>
      </c>
      <c r="E611" s="74">
        <v>-293695.56</v>
      </c>
      <c r="F611" s="76"/>
    </row>
    <row r="612" spans="2:6">
      <c r="B612" s="73">
        <v>42837</v>
      </c>
      <c r="C612" s="74">
        <v>-38855</v>
      </c>
      <c r="D612" s="73">
        <v>42643</v>
      </c>
      <c r="E612" s="74">
        <v>547753.81000000006</v>
      </c>
      <c r="F612" s="76"/>
    </row>
    <row r="613" spans="2:6">
      <c r="B613" s="73">
        <v>42838</v>
      </c>
      <c r="C613" s="74">
        <v>-110886.5</v>
      </c>
      <c r="D613" s="73">
        <v>42643</v>
      </c>
      <c r="E613" s="74">
        <v>-652.74</v>
      </c>
      <c r="F613" s="76"/>
    </row>
    <row r="614" spans="2:6">
      <c r="B614" s="73">
        <v>42838</v>
      </c>
      <c r="C614" s="74">
        <v>832058.4</v>
      </c>
      <c r="D614" s="73">
        <v>42643</v>
      </c>
      <c r="E614" s="74">
        <v>-2209.2399999999998</v>
      </c>
      <c r="F614" s="76"/>
    </row>
    <row r="615" spans="2:6">
      <c r="B615" s="73">
        <v>42842</v>
      </c>
      <c r="C615" s="74">
        <v>-9236.75</v>
      </c>
      <c r="D615" s="73">
        <v>42643</v>
      </c>
      <c r="E615" s="74">
        <v>-14618.43</v>
      </c>
      <c r="F615" s="76"/>
    </row>
    <row r="616" spans="2:6">
      <c r="B616" s="73">
        <v>42842</v>
      </c>
      <c r="C616" s="74">
        <v>5629.05</v>
      </c>
      <c r="D616" s="73">
        <v>42643</v>
      </c>
      <c r="E616" s="74">
        <v>63927.97</v>
      </c>
      <c r="F616" s="76"/>
    </row>
    <row r="617" spans="2:6">
      <c r="B617" s="73">
        <v>42842</v>
      </c>
      <c r="C617" s="74">
        <v>-31885.4</v>
      </c>
      <c r="D617" s="73">
        <v>42643</v>
      </c>
      <c r="E617" s="74">
        <v>-34782.300000000003</v>
      </c>
      <c r="F617" s="76"/>
    </row>
    <row r="618" spans="2:6">
      <c r="B618" s="73">
        <v>42843</v>
      </c>
      <c r="C618" s="74">
        <v>442637.5</v>
      </c>
      <c r="D618" s="73">
        <v>42643</v>
      </c>
      <c r="E618" s="74">
        <v>27969.34</v>
      </c>
      <c r="F618" s="76"/>
    </row>
    <row r="619" spans="2:6">
      <c r="B619" s="73">
        <v>42844</v>
      </c>
      <c r="C619" s="74">
        <v>-2317614</v>
      </c>
      <c r="D619" s="73">
        <v>42647</v>
      </c>
      <c r="E619" s="74">
        <v>-16009.7</v>
      </c>
      <c r="F619" s="76"/>
    </row>
    <row r="620" spans="2:6">
      <c r="B620" s="73">
        <v>42844</v>
      </c>
      <c r="C620" s="74">
        <v>131558.98000000001</v>
      </c>
      <c r="D620" s="73">
        <v>42647</v>
      </c>
      <c r="E620" s="74">
        <v>-113.81</v>
      </c>
      <c r="F620" s="76"/>
    </row>
    <row r="621" spans="2:6">
      <c r="B621" s="73">
        <v>42844</v>
      </c>
      <c r="C621" s="74">
        <v>82819</v>
      </c>
      <c r="D621" s="73">
        <v>42648</v>
      </c>
      <c r="E621" s="74">
        <v>-1343.16</v>
      </c>
      <c r="F621" s="76"/>
    </row>
    <row r="622" spans="2:6">
      <c r="B622" s="73">
        <v>42845</v>
      </c>
      <c r="C622" s="74">
        <v>60541.81</v>
      </c>
      <c r="D622" s="73">
        <v>42648</v>
      </c>
      <c r="E622" s="74">
        <v>40147.5</v>
      </c>
      <c r="F622" s="76"/>
    </row>
    <row r="623" spans="2:6">
      <c r="B623" s="73">
        <v>42845</v>
      </c>
      <c r="C623" s="74">
        <v>-521975.39</v>
      </c>
      <c r="D623" s="73">
        <v>42648</v>
      </c>
      <c r="E623" s="74">
        <v>5.87</v>
      </c>
      <c r="F623" s="76"/>
    </row>
    <row r="624" spans="2:6">
      <c r="B624" s="73">
        <v>42845</v>
      </c>
      <c r="C624" s="74">
        <v>-16925.849999999999</v>
      </c>
      <c r="D624" s="73">
        <v>42648</v>
      </c>
      <c r="E624" s="74">
        <v>-131670.57</v>
      </c>
      <c r="F624" s="76"/>
    </row>
    <row r="625" spans="2:6">
      <c r="B625" s="73">
        <v>42845</v>
      </c>
      <c r="C625" s="74">
        <v>-100355</v>
      </c>
      <c r="D625" s="73">
        <v>42648</v>
      </c>
      <c r="E625" s="74">
        <v>135030.42000000001</v>
      </c>
      <c r="F625" s="76"/>
    </row>
    <row r="626" spans="2:6">
      <c r="B626" s="73">
        <v>42845</v>
      </c>
      <c r="C626" s="74">
        <v>52255</v>
      </c>
      <c r="D626" s="73">
        <v>42649</v>
      </c>
      <c r="E626" s="74">
        <v>-1634.87</v>
      </c>
      <c r="F626" s="76"/>
    </row>
    <row r="627" spans="2:6">
      <c r="B627" s="73">
        <v>42845</v>
      </c>
      <c r="C627" s="74">
        <v>221517.5</v>
      </c>
      <c r="D627" s="73">
        <v>42649</v>
      </c>
      <c r="E627" s="74">
        <v>8274.83</v>
      </c>
      <c r="F627" s="76"/>
    </row>
    <row r="628" spans="2:6">
      <c r="B628" s="73">
        <v>42846</v>
      </c>
      <c r="C628" s="74">
        <v>-384445.69</v>
      </c>
      <c r="D628" s="73">
        <v>42649</v>
      </c>
      <c r="E628" s="74">
        <v>177241.86</v>
      </c>
      <c r="F628" s="76"/>
    </row>
    <row r="629" spans="2:6">
      <c r="B629" s="73">
        <v>42846</v>
      </c>
      <c r="C629" s="74">
        <v>399.65</v>
      </c>
      <c r="D629" s="73">
        <v>42649</v>
      </c>
      <c r="E629" s="74">
        <v>-41331.47</v>
      </c>
      <c r="F629" s="76"/>
    </row>
    <row r="630" spans="2:6">
      <c r="B630" s="73">
        <v>42846</v>
      </c>
      <c r="C630" s="74">
        <v>46418.1</v>
      </c>
      <c r="D630" s="73">
        <v>42649</v>
      </c>
      <c r="E630" s="74">
        <v>-16094.36</v>
      </c>
      <c r="F630" s="76"/>
    </row>
    <row r="631" spans="2:6">
      <c r="B631" s="73">
        <v>42846</v>
      </c>
      <c r="C631" s="74">
        <v>-5134.3999999999996</v>
      </c>
      <c r="D631" s="73">
        <v>42650</v>
      </c>
      <c r="E631" s="74">
        <v>1847.51</v>
      </c>
      <c r="F631" s="76"/>
    </row>
    <row r="632" spans="2:6">
      <c r="B632" s="73">
        <v>42849</v>
      </c>
      <c r="C632" s="74">
        <v>-263072.48</v>
      </c>
      <c r="D632" s="73">
        <v>42650</v>
      </c>
      <c r="E632" s="74">
        <v>-9963.59</v>
      </c>
      <c r="F632" s="76"/>
    </row>
    <row r="633" spans="2:6">
      <c r="B633" s="73">
        <v>42850</v>
      </c>
      <c r="C633" s="74">
        <v>1972.25</v>
      </c>
      <c r="D633" s="73">
        <v>42650</v>
      </c>
      <c r="E633" s="74">
        <v>-16986.900000000001</v>
      </c>
      <c r="F633" s="76"/>
    </row>
    <row r="634" spans="2:6">
      <c r="B634" s="73">
        <v>42857</v>
      </c>
      <c r="C634" s="74">
        <v>-53735</v>
      </c>
      <c r="D634" s="73">
        <v>42650</v>
      </c>
      <c r="E634" s="74">
        <v>17995.61</v>
      </c>
      <c r="F634" s="76"/>
    </row>
    <row r="635" spans="2:6">
      <c r="B635" s="73">
        <v>42866</v>
      </c>
      <c r="C635" s="74">
        <v>-821</v>
      </c>
      <c r="D635" s="73">
        <v>42653</v>
      </c>
      <c r="E635" s="74">
        <v>82624.83</v>
      </c>
      <c r="F635" s="76"/>
    </row>
    <row r="636" spans="2:6">
      <c r="B636" s="73">
        <v>42867</v>
      </c>
      <c r="C636" s="74">
        <v>11396</v>
      </c>
      <c r="D636" s="73">
        <v>42653</v>
      </c>
      <c r="E636" s="74">
        <v>-23792.92</v>
      </c>
      <c r="F636" s="76"/>
    </row>
    <row r="637" spans="2:6">
      <c r="B637" s="73">
        <v>42867</v>
      </c>
      <c r="C637" s="74">
        <v>154514.79999999999</v>
      </c>
      <c r="D637" s="73">
        <v>42653</v>
      </c>
      <c r="E637" s="74">
        <v>-142914.29999999999</v>
      </c>
      <c r="F637" s="76"/>
    </row>
    <row r="638" spans="2:6">
      <c r="B638" s="73">
        <v>42867</v>
      </c>
      <c r="C638" s="74">
        <v>107046.45</v>
      </c>
      <c r="D638" s="73">
        <v>42653</v>
      </c>
      <c r="E638" s="74">
        <v>-931.36</v>
      </c>
      <c r="F638" s="76"/>
    </row>
    <row r="639" spans="2:6">
      <c r="B639" s="73">
        <v>42870</v>
      </c>
      <c r="C639" s="74">
        <v>361914.2</v>
      </c>
      <c r="D639" s="73">
        <v>42653</v>
      </c>
      <c r="E639" s="74">
        <v>595.73</v>
      </c>
      <c r="F639" s="76"/>
    </row>
    <row r="640" spans="2:6">
      <c r="B640" s="73">
        <v>42870</v>
      </c>
      <c r="C640" s="74">
        <v>95223.02</v>
      </c>
      <c r="D640" s="73">
        <v>42656</v>
      </c>
      <c r="E640" s="74">
        <v>18068.89</v>
      </c>
      <c r="F640" s="76"/>
    </row>
    <row r="641" spans="2:6">
      <c r="B641" s="73">
        <v>42870</v>
      </c>
      <c r="C641" s="74">
        <v>120569</v>
      </c>
      <c r="D641" s="73">
        <v>42656</v>
      </c>
      <c r="E641" s="74">
        <v>-149.86000000000001</v>
      </c>
      <c r="F641" s="76"/>
    </row>
    <row r="642" spans="2:6">
      <c r="B642" s="73">
        <v>42870</v>
      </c>
      <c r="C642" s="74">
        <v>17611.599999999999</v>
      </c>
      <c r="D642" s="73">
        <v>42656</v>
      </c>
      <c r="E642" s="74">
        <v>-56758.66</v>
      </c>
      <c r="F642" s="76"/>
    </row>
    <row r="643" spans="2:6">
      <c r="B643" s="73">
        <v>42870</v>
      </c>
      <c r="C643" s="74">
        <v>211054.6</v>
      </c>
      <c r="D643" s="73">
        <v>42657</v>
      </c>
      <c r="E643" s="74">
        <v>-1368.71</v>
      </c>
      <c r="F643" s="76"/>
    </row>
    <row r="644" spans="2:6">
      <c r="B644" s="73">
        <v>42871</v>
      </c>
      <c r="C644" s="74">
        <v>1709.8</v>
      </c>
      <c r="D644" s="73">
        <v>42657</v>
      </c>
      <c r="E644" s="74">
        <v>2032.04</v>
      </c>
      <c r="F644" s="76"/>
    </row>
    <row r="645" spans="2:6">
      <c r="B645" s="73">
        <v>42874</v>
      </c>
      <c r="C645" s="74">
        <v>193.2</v>
      </c>
      <c r="D645" s="73">
        <v>42657</v>
      </c>
      <c r="E645" s="74">
        <v>62.44</v>
      </c>
      <c r="F645" s="76"/>
    </row>
    <row r="646" spans="2:6">
      <c r="B646" s="73">
        <v>42877</v>
      </c>
      <c r="C646" s="74">
        <v>93623</v>
      </c>
      <c r="D646" s="73">
        <v>42657</v>
      </c>
      <c r="E646" s="74">
        <v>-65457.83</v>
      </c>
      <c r="F646" s="76"/>
    </row>
    <row r="647" spans="2:6">
      <c r="B647" s="73">
        <v>42877</v>
      </c>
      <c r="C647" s="74">
        <v>3042.35</v>
      </c>
      <c r="D647" s="73">
        <v>42660</v>
      </c>
      <c r="E647" s="74">
        <v>13308.4</v>
      </c>
      <c r="F647" s="76"/>
    </row>
    <row r="648" spans="2:6">
      <c r="B648" s="73">
        <v>42878</v>
      </c>
      <c r="C648" s="74">
        <v>55567.5</v>
      </c>
      <c r="D648" s="73">
        <v>42660</v>
      </c>
      <c r="E648" s="74">
        <v>-282762.71000000002</v>
      </c>
      <c r="F648" s="76"/>
    </row>
    <row r="649" spans="2:6">
      <c r="B649" s="73">
        <v>42878</v>
      </c>
      <c r="C649" s="74">
        <v>59019</v>
      </c>
      <c r="D649" s="73">
        <v>42661</v>
      </c>
      <c r="E649" s="74">
        <v>19933.939999999999</v>
      </c>
      <c r="F649" s="76"/>
    </row>
    <row r="650" spans="2:6">
      <c r="B650" s="73">
        <v>42878</v>
      </c>
      <c r="C650" s="74">
        <v>699110.95</v>
      </c>
      <c r="D650" s="73">
        <v>42661</v>
      </c>
      <c r="E650" s="74">
        <v>-11597.88</v>
      </c>
      <c r="F650" s="76"/>
    </row>
    <row r="651" spans="2:6">
      <c r="B651" s="73">
        <v>42878</v>
      </c>
      <c r="C651" s="74">
        <v>366247.75</v>
      </c>
      <c r="D651" s="73">
        <v>42661</v>
      </c>
      <c r="E651" s="74">
        <v>-77582.95</v>
      </c>
      <c r="F651" s="76"/>
    </row>
    <row r="652" spans="2:6">
      <c r="B652" s="73">
        <v>42878</v>
      </c>
      <c r="C652" s="74">
        <v>12772.15</v>
      </c>
      <c r="D652" s="73">
        <v>42662</v>
      </c>
      <c r="E652" s="74">
        <v>28.3</v>
      </c>
      <c r="F652" s="76"/>
    </row>
    <row r="653" spans="2:6">
      <c r="B653" s="73">
        <v>42878</v>
      </c>
      <c r="C653" s="74">
        <v>56656.98</v>
      </c>
      <c r="D653" s="73">
        <v>42662</v>
      </c>
      <c r="E653" s="74">
        <v>-70.75</v>
      </c>
      <c r="F653" s="76"/>
    </row>
    <row r="654" spans="2:6">
      <c r="B654" s="73">
        <v>42878</v>
      </c>
      <c r="C654" s="74">
        <v>366313.48</v>
      </c>
      <c r="D654" s="73">
        <v>42662</v>
      </c>
      <c r="E654" s="74">
        <v>-4014.97</v>
      </c>
      <c r="F654" s="76"/>
    </row>
    <row r="655" spans="2:6">
      <c r="B655" s="73">
        <v>42879</v>
      </c>
      <c r="C655" s="74">
        <v>66969.7</v>
      </c>
      <c r="D655" s="73">
        <v>42662</v>
      </c>
      <c r="E655" s="74">
        <v>7046.9</v>
      </c>
      <c r="F655" s="76"/>
    </row>
    <row r="656" spans="2:6">
      <c r="B656" s="73">
        <v>42879</v>
      </c>
      <c r="C656" s="74">
        <v>307280.51</v>
      </c>
      <c r="D656" s="73">
        <v>42662</v>
      </c>
      <c r="E656" s="74">
        <v>59.67</v>
      </c>
      <c r="F656" s="76"/>
    </row>
    <row r="657" spans="2:6">
      <c r="B657" s="73">
        <v>42879</v>
      </c>
      <c r="C657" s="74">
        <v>1786.5</v>
      </c>
      <c r="D657" s="73">
        <v>42663</v>
      </c>
      <c r="E657" s="74">
        <v>516.48</v>
      </c>
      <c r="F657" s="76"/>
    </row>
    <row r="658" spans="2:6">
      <c r="B658" s="73">
        <v>42879</v>
      </c>
      <c r="C658" s="74">
        <v>28459.5</v>
      </c>
      <c r="D658" s="73">
        <v>42663</v>
      </c>
      <c r="E658" s="74">
        <v>-1415.01</v>
      </c>
      <c r="F658" s="76"/>
    </row>
    <row r="659" spans="2:6">
      <c r="B659" s="73">
        <v>42879</v>
      </c>
      <c r="C659" s="74">
        <v>14797</v>
      </c>
      <c r="D659" s="73">
        <v>42663</v>
      </c>
      <c r="E659" s="74">
        <v>-3990.54</v>
      </c>
      <c r="F659" s="76"/>
    </row>
    <row r="660" spans="2:6">
      <c r="B660" s="73">
        <v>42879</v>
      </c>
      <c r="C660" s="74">
        <v>377138.26</v>
      </c>
      <c r="D660" s="73">
        <v>42664</v>
      </c>
      <c r="E660" s="74">
        <v>-45064.07</v>
      </c>
      <c r="F660" s="76"/>
    </row>
    <row r="661" spans="2:6">
      <c r="B661" s="73">
        <v>42880</v>
      </c>
      <c r="C661" s="74">
        <v>234852.61</v>
      </c>
      <c r="D661" s="73">
        <v>42664</v>
      </c>
      <c r="E661" s="74">
        <v>-7876.23</v>
      </c>
      <c r="F661" s="76"/>
    </row>
    <row r="662" spans="2:6">
      <c r="B662" s="73">
        <v>42888</v>
      </c>
      <c r="C662" s="74">
        <v>-12730.9</v>
      </c>
      <c r="D662" s="73">
        <v>42668</v>
      </c>
      <c r="E662" s="74">
        <v>41490.82</v>
      </c>
      <c r="F662" s="76"/>
    </row>
    <row r="663" spans="2:6">
      <c r="B663" s="73">
        <v>42888</v>
      </c>
      <c r="C663" s="74">
        <v>-250105</v>
      </c>
      <c r="D663" s="73">
        <v>42668</v>
      </c>
      <c r="E663" s="74">
        <v>-1395.87</v>
      </c>
      <c r="F663" s="76"/>
    </row>
    <row r="664" spans="2:6">
      <c r="B664" s="73">
        <v>42888</v>
      </c>
      <c r="C664" s="74">
        <v>152355</v>
      </c>
      <c r="D664" s="73">
        <v>42668</v>
      </c>
      <c r="E664" s="74">
        <v>-1395.87</v>
      </c>
      <c r="F664" s="76"/>
    </row>
    <row r="665" spans="2:6">
      <c r="B665" s="73">
        <v>42888</v>
      </c>
      <c r="C665" s="74">
        <v>10888.52</v>
      </c>
      <c r="D665" s="73">
        <v>42668</v>
      </c>
      <c r="E665" s="74">
        <v>20798.45</v>
      </c>
      <c r="F665" s="76"/>
    </row>
    <row r="666" spans="2:6">
      <c r="B666" s="73">
        <v>42888</v>
      </c>
      <c r="C666" s="74">
        <v>1999.01</v>
      </c>
      <c r="D666" s="73">
        <v>42669</v>
      </c>
      <c r="E666" s="74">
        <v>63143.12</v>
      </c>
      <c r="F666" s="76"/>
    </row>
    <row r="667" spans="2:6">
      <c r="B667" s="73">
        <v>42888</v>
      </c>
      <c r="C667" s="74">
        <v>-123316.99</v>
      </c>
      <c r="D667" s="73">
        <v>42669</v>
      </c>
      <c r="E667" s="74">
        <v>-20864.97</v>
      </c>
      <c r="F667" s="76"/>
    </row>
    <row r="668" spans="2:6">
      <c r="B668" s="73">
        <v>42888</v>
      </c>
      <c r="C668" s="74">
        <v>-170029.01</v>
      </c>
      <c r="D668" s="73">
        <v>42669</v>
      </c>
      <c r="E668" s="74">
        <v>-6303.02</v>
      </c>
      <c r="F668" s="76"/>
    </row>
    <row r="669" spans="2:6">
      <c r="B669" s="73">
        <v>42888</v>
      </c>
      <c r="C669" s="74">
        <v>-197533.8</v>
      </c>
      <c r="D669" s="73">
        <v>42669</v>
      </c>
      <c r="E669" s="74">
        <v>43108.14</v>
      </c>
      <c r="F669" s="76"/>
    </row>
    <row r="670" spans="2:6">
      <c r="B670" s="73">
        <v>42888</v>
      </c>
      <c r="C670" s="74">
        <v>-8142.15</v>
      </c>
      <c r="D670" s="73">
        <v>42669</v>
      </c>
      <c r="E670" s="74">
        <v>-12851.56</v>
      </c>
      <c r="F670" s="76"/>
    </row>
    <row r="671" spans="2:6">
      <c r="B671" s="73">
        <v>42888</v>
      </c>
      <c r="C671" s="74">
        <v>-26100.6</v>
      </c>
      <c r="D671" s="73">
        <v>42670</v>
      </c>
      <c r="E671" s="74">
        <v>-124441.34</v>
      </c>
      <c r="F671" s="76"/>
    </row>
    <row r="672" spans="2:6">
      <c r="B672" s="73">
        <v>42891</v>
      </c>
      <c r="C672" s="74">
        <v>6467.41</v>
      </c>
      <c r="D672" s="73">
        <v>42670</v>
      </c>
      <c r="E672" s="74">
        <v>-87078.22</v>
      </c>
      <c r="F672" s="76"/>
    </row>
    <row r="673" spans="2:6">
      <c r="B673" s="73">
        <v>42891</v>
      </c>
      <c r="C673" s="74">
        <v>-29872.3</v>
      </c>
      <c r="D673" s="73">
        <v>42670</v>
      </c>
      <c r="E673" s="74">
        <v>-37883.14</v>
      </c>
      <c r="F673" s="76"/>
    </row>
    <row r="674" spans="2:6">
      <c r="B674" s="73">
        <v>42891</v>
      </c>
      <c r="C674" s="74">
        <v>167483.9</v>
      </c>
      <c r="D674" s="73">
        <v>42670</v>
      </c>
      <c r="E674" s="74">
        <v>2545716.56</v>
      </c>
      <c r="F674" s="76"/>
    </row>
    <row r="675" spans="2:6">
      <c r="B675" s="73">
        <v>42892</v>
      </c>
      <c r="C675" s="74">
        <v>-1152.5999999999999</v>
      </c>
      <c r="D675" s="73">
        <v>42670</v>
      </c>
      <c r="E675" s="74">
        <v>6336.87</v>
      </c>
      <c r="F675" s="76"/>
    </row>
    <row r="676" spans="2:6">
      <c r="B676" s="73">
        <v>42892</v>
      </c>
      <c r="C676" s="74">
        <v>-778022</v>
      </c>
      <c r="D676" s="73">
        <v>42670</v>
      </c>
      <c r="E676" s="74">
        <v>697.93</v>
      </c>
      <c r="F676" s="76"/>
    </row>
    <row r="677" spans="2:6">
      <c r="B677" s="73">
        <v>42892</v>
      </c>
      <c r="C677" s="74">
        <v>4485</v>
      </c>
      <c r="D677" s="73">
        <v>42674</v>
      </c>
      <c r="E677" s="74">
        <v>14161.43</v>
      </c>
      <c r="F677" s="76"/>
    </row>
    <row r="678" spans="2:6" ht="38.25">
      <c r="B678" s="73"/>
      <c r="C678" s="75" t="s">
        <v>375</v>
      </c>
      <c r="D678" s="73">
        <v>42674</v>
      </c>
      <c r="E678" s="74">
        <v>-21215.11</v>
      </c>
      <c r="F678" s="76"/>
    </row>
    <row r="679" spans="2:6">
      <c r="B679" s="73">
        <v>42727</v>
      </c>
      <c r="C679" s="74">
        <v>38336.25</v>
      </c>
      <c r="D679" s="73">
        <v>42674</v>
      </c>
      <c r="E679" s="74">
        <v>-78541.789999999994</v>
      </c>
      <c r="F679" s="76"/>
    </row>
    <row r="680" spans="2:6">
      <c r="B680" s="73">
        <v>42727</v>
      </c>
      <c r="C680" s="74">
        <v>-195698.68</v>
      </c>
      <c r="D680" s="73">
        <v>42674</v>
      </c>
      <c r="E680" s="74">
        <v>-37541.72</v>
      </c>
      <c r="F680" s="76"/>
    </row>
    <row r="681" spans="2:6">
      <c r="B681" s="73">
        <v>42727</v>
      </c>
      <c r="C681" s="74">
        <v>174255.7</v>
      </c>
      <c r="D681" s="73">
        <v>42674</v>
      </c>
      <c r="E681" s="74">
        <v>-1787.38</v>
      </c>
      <c r="F681" s="76"/>
    </row>
    <row r="682" spans="2:6">
      <c r="B682" s="73">
        <v>42815</v>
      </c>
      <c r="C682" s="74">
        <v>26250</v>
      </c>
      <c r="D682" s="73">
        <v>42674</v>
      </c>
      <c r="E682" s="74">
        <v>-267640.84999999998</v>
      </c>
      <c r="F682" s="76"/>
    </row>
    <row r="683" spans="2:6" ht="38.25">
      <c r="B683" s="73"/>
      <c r="C683" s="75" t="s">
        <v>379</v>
      </c>
      <c r="D683" s="73">
        <v>42674</v>
      </c>
      <c r="E683" s="74">
        <v>17742.79</v>
      </c>
      <c r="F683" s="76"/>
    </row>
    <row r="684" spans="2:6">
      <c r="B684" s="73">
        <v>42570</v>
      </c>
      <c r="C684" s="74">
        <v>-2992</v>
      </c>
      <c r="D684" s="73">
        <v>42674</v>
      </c>
      <c r="E684" s="74">
        <v>89836.14</v>
      </c>
      <c r="F684" s="76"/>
    </row>
    <row r="685" spans="2:6">
      <c r="B685" s="73">
        <v>42571</v>
      </c>
      <c r="C685" s="74">
        <v>-5367</v>
      </c>
      <c r="D685" s="73">
        <v>42674</v>
      </c>
      <c r="E685" s="74">
        <v>12136.57</v>
      </c>
      <c r="F685" s="76"/>
    </row>
    <row r="686" spans="2:6">
      <c r="B686" s="73">
        <v>42572</v>
      </c>
      <c r="C686" s="74">
        <v>-10765</v>
      </c>
      <c r="D686" s="73">
        <v>42676</v>
      </c>
      <c r="E686" s="74">
        <v>-3116.74</v>
      </c>
      <c r="F686" s="76"/>
    </row>
    <row r="687" spans="2:6">
      <c r="B687" s="73">
        <v>42578</v>
      </c>
      <c r="C687" s="74">
        <v>-8408</v>
      </c>
      <c r="D687" s="73">
        <v>42676</v>
      </c>
      <c r="E687" s="74">
        <v>-6926.08</v>
      </c>
      <c r="F687" s="76"/>
    </row>
    <row r="688" spans="2:6">
      <c r="B688" s="73">
        <v>42621</v>
      </c>
      <c r="C688" s="74">
        <v>-13750</v>
      </c>
      <c r="D688" s="73">
        <v>42676</v>
      </c>
      <c r="E688" s="74">
        <v>-20842.900000000001</v>
      </c>
      <c r="F688" s="76"/>
    </row>
    <row r="689" spans="2:6">
      <c r="B689" s="73">
        <v>42621</v>
      </c>
      <c r="C689" s="74">
        <v>-11572</v>
      </c>
      <c r="D689" s="73">
        <v>42676</v>
      </c>
      <c r="E689" s="74">
        <v>30101.29</v>
      </c>
      <c r="F689" s="76"/>
    </row>
    <row r="690" spans="2:6">
      <c r="B690" s="73">
        <v>42622</v>
      </c>
      <c r="C690" s="74">
        <v>-27577</v>
      </c>
      <c r="D690" s="73">
        <v>42677</v>
      </c>
      <c r="E690" s="74">
        <v>117963</v>
      </c>
      <c r="F690" s="76"/>
    </row>
    <row r="691" spans="2:6">
      <c r="B691" s="73">
        <v>42628</v>
      </c>
      <c r="C691" s="74">
        <v>-678.5</v>
      </c>
      <c r="D691" s="73">
        <v>42677</v>
      </c>
      <c r="E691" s="74">
        <v>-25710.1</v>
      </c>
      <c r="F691" s="76"/>
    </row>
    <row r="692" spans="2:6">
      <c r="B692" s="73">
        <v>42628</v>
      </c>
      <c r="C692" s="74">
        <v>-6750</v>
      </c>
      <c r="D692" s="73">
        <v>42677</v>
      </c>
      <c r="E692" s="74">
        <v>-586.37</v>
      </c>
      <c r="F692" s="76"/>
    </row>
    <row r="693" spans="2:6">
      <c r="B693" s="73">
        <v>42632</v>
      </c>
      <c r="C693" s="74">
        <v>-48996.5</v>
      </c>
      <c r="D693" s="73">
        <v>42677</v>
      </c>
      <c r="E693" s="74">
        <v>-115104.98</v>
      </c>
      <c r="F693" s="76"/>
    </row>
    <row r="694" spans="2:6">
      <c r="B694" s="73">
        <v>42635</v>
      </c>
      <c r="C694" s="74">
        <v>-29815.5</v>
      </c>
      <c r="D694" s="73">
        <v>42677</v>
      </c>
      <c r="E694" s="74">
        <v>7672.16</v>
      </c>
      <c r="F694" s="76"/>
    </row>
    <row r="695" spans="2:6">
      <c r="B695" s="73">
        <v>42635</v>
      </c>
      <c r="C695" s="74">
        <v>-198246</v>
      </c>
      <c r="D695" s="73">
        <v>42678</v>
      </c>
      <c r="E695" s="74">
        <v>1160047.44</v>
      </c>
      <c r="F695" s="76"/>
    </row>
    <row r="696" spans="2:6">
      <c r="B696" s="73">
        <v>42691</v>
      </c>
      <c r="C696" s="74">
        <v>-6195</v>
      </c>
      <c r="D696" s="73">
        <v>42678</v>
      </c>
      <c r="E696" s="74">
        <v>-21220.21</v>
      </c>
      <c r="F696" s="76"/>
    </row>
    <row r="697" spans="2:6">
      <c r="B697" s="73">
        <v>42702</v>
      </c>
      <c r="C697" s="74">
        <v>-12517.5</v>
      </c>
      <c r="D697" s="73">
        <v>42678</v>
      </c>
      <c r="E697" s="74">
        <v>1823.19</v>
      </c>
      <c r="F697" s="76"/>
    </row>
    <row r="698" spans="2:6">
      <c r="B698" s="73">
        <v>42762</v>
      </c>
      <c r="C698" s="74">
        <v>-1485.75</v>
      </c>
      <c r="D698" s="73">
        <v>42678</v>
      </c>
      <c r="E698" s="74">
        <v>-17749.39</v>
      </c>
      <c r="F698" s="76"/>
    </row>
    <row r="699" spans="2:6" ht="38.25">
      <c r="B699" s="73"/>
      <c r="C699" s="75" t="s">
        <v>377</v>
      </c>
      <c r="D699" s="73">
        <v>42678</v>
      </c>
      <c r="E699" s="74">
        <v>302.38</v>
      </c>
      <c r="F699" s="76"/>
    </row>
    <row r="700" spans="2:6">
      <c r="B700" s="73">
        <v>42562</v>
      </c>
      <c r="C700" s="74">
        <v>32225</v>
      </c>
      <c r="D700" s="73">
        <v>42678</v>
      </c>
      <c r="E700" s="74">
        <v>-381.17</v>
      </c>
      <c r="F700" s="76"/>
    </row>
    <row r="701" spans="2:6">
      <c r="B701" s="73">
        <v>42563</v>
      </c>
      <c r="C701" s="74">
        <v>436088.8</v>
      </c>
      <c r="D701" s="73">
        <v>42678</v>
      </c>
      <c r="E701" s="74">
        <v>5.96</v>
      </c>
      <c r="F701" s="76"/>
    </row>
    <row r="702" spans="2:6">
      <c r="B702" s="73">
        <v>42563</v>
      </c>
      <c r="C702" s="74">
        <v>-188894.18</v>
      </c>
      <c r="D702" s="73">
        <v>42678</v>
      </c>
      <c r="E702" s="74">
        <v>65.290000000000006</v>
      </c>
      <c r="F702" s="76"/>
    </row>
    <row r="703" spans="2:6">
      <c r="B703" s="73">
        <v>42563</v>
      </c>
      <c r="C703" s="74">
        <v>-1318</v>
      </c>
      <c r="D703" s="73">
        <v>42678</v>
      </c>
      <c r="E703" s="74">
        <v>-79427.16</v>
      </c>
      <c r="F703" s="76"/>
    </row>
    <row r="704" spans="2:6">
      <c r="B704" s="73">
        <v>42563</v>
      </c>
      <c r="C704" s="74">
        <v>-98400</v>
      </c>
      <c r="D704" s="73">
        <v>42678</v>
      </c>
      <c r="E704" s="74">
        <v>-95.65</v>
      </c>
      <c r="F704" s="76"/>
    </row>
    <row r="705" spans="2:6">
      <c r="B705" s="73">
        <v>42564</v>
      </c>
      <c r="C705" s="74">
        <v>1088029.5</v>
      </c>
      <c r="D705" s="73">
        <v>42678</v>
      </c>
      <c r="E705" s="74">
        <v>-1872.5</v>
      </c>
      <c r="F705" s="76"/>
    </row>
    <row r="706" spans="2:6">
      <c r="B706" s="73">
        <v>42564</v>
      </c>
      <c r="C706" s="74">
        <v>-5650</v>
      </c>
      <c r="D706" s="73">
        <v>42678</v>
      </c>
      <c r="E706" s="74">
        <v>-70936.61</v>
      </c>
      <c r="F706" s="76"/>
    </row>
    <row r="707" spans="2:6">
      <c r="B707" s="73">
        <v>42585</v>
      </c>
      <c r="C707" s="74">
        <v>-639800</v>
      </c>
      <c r="D707" s="73">
        <v>42678</v>
      </c>
      <c r="E707" s="74">
        <v>37051.24</v>
      </c>
      <c r="F707" s="76"/>
    </row>
    <row r="708" spans="2:6">
      <c r="B708" s="73">
        <v>42585</v>
      </c>
      <c r="C708" s="74">
        <v>-240650</v>
      </c>
      <c r="D708" s="73">
        <v>42682</v>
      </c>
      <c r="E708" s="74">
        <v>-9245.7099999999991</v>
      </c>
      <c r="F708" s="76"/>
    </row>
    <row r="709" spans="2:6">
      <c r="B709" s="73">
        <v>42585</v>
      </c>
      <c r="C709" s="74">
        <v>497150</v>
      </c>
      <c r="D709" s="73">
        <v>42682</v>
      </c>
      <c r="E709" s="74">
        <v>-11216.27</v>
      </c>
      <c r="F709" s="76"/>
    </row>
    <row r="710" spans="2:6">
      <c r="B710" s="73">
        <v>42585</v>
      </c>
      <c r="C710" s="74">
        <v>-110001</v>
      </c>
      <c r="D710" s="73">
        <v>42682</v>
      </c>
      <c r="E710" s="74">
        <v>13614.2</v>
      </c>
      <c r="F710" s="76"/>
    </row>
    <row r="711" spans="2:6">
      <c r="B711" s="73">
        <v>42586</v>
      </c>
      <c r="C711" s="74">
        <v>-735950</v>
      </c>
      <c r="D711" s="73">
        <v>42682</v>
      </c>
      <c r="E711" s="74">
        <v>33720.94</v>
      </c>
      <c r="F711" s="76"/>
    </row>
    <row r="712" spans="2:6">
      <c r="B712" s="73">
        <v>42586</v>
      </c>
      <c r="C712" s="74">
        <v>-328700</v>
      </c>
      <c r="D712" s="73">
        <v>42683</v>
      </c>
      <c r="E712" s="74">
        <v>43275.8</v>
      </c>
      <c r="F712" s="76"/>
    </row>
    <row r="713" spans="2:6">
      <c r="B713" s="73">
        <v>42587</v>
      </c>
      <c r="C713" s="74">
        <v>49450</v>
      </c>
      <c r="D713" s="73">
        <v>42683</v>
      </c>
      <c r="E713" s="74">
        <v>-25781.25</v>
      </c>
      <c r="F713" s="76"/>
    </row>
    <row r="714" spans="2:6">
      <c r="B714" s="73">
        <v>42590</v>
      </c>
      <c r="C714" s="74">
        <v>-95600</v>
      </c>
      <c r="D714" s="73">
        <v>42683</v>
      </c>
      <c r="E714" s="74">
        <v>-15464.53</v>
      </c>
      <c r="F714" s="76"/>
    </row>
    <row r="715" spans="2:6">
      <c r="B715" s="73">
        <v>42591</v>
      </c>
      <c r="C715" s="74">
        <v>-475500</v>
      </c>
      <c r="D715" s="73">
        <v>42683</v>
      </c>
      <c r="E715" s="74">
        <v>-10282.040000000001</v>
      </c>
      <c r="F715" s="76"/>
    </row>
    <row r="716" spans="2:6">
      <c r="B716" s="73">
        <v>42591</v>
      </c>
      <c r="C716" s="74">
        <v>-917550</v>
      </c>
      <c r="D716" s="73">
        <v>42684</v>
      </c>
      <c r="E716" s="74">
        <v>112825.92</v>
      </c>
      <c r="F716" s="76"/>
    </row>
    <row r="717" spans="2:6">
      <c r="B717" s="73">
        <v>42593</v>
      </c>
      <c r="C717" s="74">
        <v>-688000</v>
      </c>
      <c r="D717" s="73">
        <v>42684</v>
      </c>
      <c r="E717" s="74">
        <v>-54580.25</v>
      </c>
      <c r="F717" s="76"/>
    </row>
    <row r="718" spans="2:6">
      <c r="B718" s="73">
        <v>42600</v>
      </c>
      <c r="C718" s="74">
        <v>-326800</v>
      </c>
      <c r="D718" s="73">
        <v>42684</v>
      </c>
      <c r="E718" s="74">
        <v>-21724.26</v>
      </c>
      <c r="F718" s="76"/>
    </row>
    <row r="719" spans="2:6">
      <c r="B719" s="73">
        <v>42615</v>
      </c>
      <c r="C719" s="74">
        <v>-185316.5</v>
      </c>
      <c r="D719" s="73">
        <v>42684</v>
      </c>
      <c r="E719" s="74">
        <v>54580.25</v>
      </c>
      <c r="F719" s="76"/>
    </row>
    <row r="720" spans="2:6">
      <c r="B720" s="73">
        <v>42618</v>
      </c>
      <c r="C720" s="74">
        <v>306200</v>
      </c>
      <c r="D720" s="73">
        <v>42684</v>
      </c>
      <c r="E720" s="74">
        <v>81118.179999999993</v>
      </c>
      <c r="F720" s="76"/>
    </row>
    <row r="721" spans="2:6">
      <c r="B721" s="73">
        <v>42622</v>
      </c>
      <c r="C721" s="74">
        <v>-614300</v>
      </c>
      <c r="D721" s="73">
        <v>42684</v>
      </c>
      <c r="E721" s="74">
        <v>-6575.03</v>
      </c>
      <c r="F721" s="76"/>
    </row>
    <row r="722" spans="2:6">
      <c r="B722" s="73">
        <v>42629</v>
      </c>
      <c r="C722" s="74">
        <v>-913950</v>
      </c>
      <c r="D722" s="73">
        <v>42684</v>
      </c>
      <c r="E722" s="74">
        <v>-12862.64</v>
      </c>
      <c r="F722" s="76"/>
    </row>
    <row r="723" spans="2:6">
      <c r="B723" s="73">
        <v>42635</v>
      </c>
      <c r="C723" s="74">
        <v>185250</v>
      </c>
      <c r="D723" s="73">
        <v>42685</v>
      </c>
      <c r="E723" s="74">
        <v>-60301.23</v>
      </c>
      <c r="F723" s="76"/>
    </row>
    <row r="724" spans="2:6">
      <c r="B724" s="73">
        <v>42635</v>
      </c>
      <c r="C724" s="74">
        <v>54450</v>
      </c>
      <c r="D724" s="73">
        <v>42685</v>
      </c>
      <c r="E724" s="74">
        <v>-2566.0100000000002</v>
      </c>
      <c r="F724" s="76"/>
    </row>
    <row r="725" spans="2:6">
      <c r="B725" s="73">
        <v>42635</v>
      </c>
      <c r="C725" s="74">
        <v>81700</v>
      </c>
      <c r="D725" s="73">
        <v>42688</v>
      </c>
      <c r="E725" s="74">
        <v>-37932.32</v>
      </c>
      <c r="F725" s="76"/>
    </row>
    <row r="726" spans="2:6">
      <c r="B726" s="73">
        <v>42641</v>
      </c>
      <c r="C726" s="74">
        <v>-7400</v>
      </c>
      <c r="D726" s="73">
        <v>42688</v>
      </c>
      <c r="E726" s="74">
        <v>-1640.94</v>
      </c>
      <c r="F726" s="76"/>
    </row>
    <row r="727" spans="2:6">
      <c r="B727" s="73">
        <v>42641</v>
      </c>
      <c r="C727" s="74">
        <v>-57400</v>
      </c>
      <c r="D727" s="73">
        <v>42688</v>
      </c>
      <c r="E727" s="74">
        <v>37486.949999999997</v>
      </c>
      <c r="F727" s="76"/>
    </row>
    <row r="728" spans="2:6">
      <c r="B728" s="73">
        <v>42642</v>
      </c>
      <c r="C728" s="74">
        <v>-1281200</v>
      </c>
      <c r="D728" s="73">
        <v>42688</v>
      </c>
      <c r="E728" s="74">
        <v>1405.77</v>
      </c>
      <c r="F728" s="76"/>
    </row>
    <row r="729" spans="2:6">
      <c r="B729" s="73">
        <v>42642</v>
      </c>
      <c r="C729" s="74">
        <v>-312950</v>
      </c>
      <c r="D729" s="73">
        <v>42689</v>
      </c>
      <c r="E729" s="74">
        <v>141370.76</v>
      </c>
      <c r="F729" s="76"/>
    </row>
    <row r="730" spans="2:6">
      <c r="B730" s="73">
        <v>42642</v>
      </c>
      <c r="C730" s="74">
        <v>-42300</v>
      </c>
      <c r="D730" s="73">
        <v>42689</v>
      </c>
      <c r="E730" s="74">
        <v>-130.53</v>
      </c>
      <c r="F730" s="76"/>
    </row>
    <row r="731" spans="2:6">
      <c r="B731" s="73">
        <v>42642</v>
      </c>
      <c r="C731" s="74">
        <v>-166700</v>
      </c>
      <c r="D731" s="73">
        <v>42689</v>
      </c>
      <c r="E731" s="74">
        <v>12139.69</v>
      </c>
      <c r="F731" s="76"/>
    </row>
    <row r="732" spans="2:6">
      <c r="B732" s="73">
        <v>42663</v>
      </c>
      <c r="C732" s="74">
        <v>-132000</v>
      </c>
      <c r="D732" s="73">
        <v>42689</v>
      </c>
      <c r="E732" s="74">
        <v>-66670.28</v>
      </c>
      <c r="F732" s="76"/>
    </row>
    <row r="733" spans="2:6">
      <c r="B733" s="73">
        <v>42664</v>
      </c>
      <c r="C733" s="74">
        <v>-1973295</v>
      </c>
      <c r="D733" s="73">
        <v>42690</v>
      </c>
      <c r="E733" s="74">
        <v>-922.34</v>
      </c>
      <c r="F733" s="76"/>
    </row>
    <row r="734" spans="2:6">
      <c r="B734" s="73">
        <v>42667</v>
      </c>
      <c r="C734" s="74">
        <v>-371950</v>
      </c>
      <c r="D734" s="73">
        <v>42690</v>
      </c>
      <c r="E734" s="74">
        <v>106613.72</v>
      </c>
      <c r="F734" s="76"/>
    </row>
    <row r="735" spans="2:6">
      <c r="B735" s="73">
        <v>42667</v>
      </c>
      <c r="C735" s="74">
        <v>-356100</v>
      </c>
      <c r="D735" s="73">
        <v>42690</v>
      </c>
      <c r="E735" s="74">
        <v>-2729.88</v>
      </c>
      <c r="F735" s="76"/>
    </row>
    <row r="736" spans="2:6">
      <c r="B736" s="73">
        <v>42667</v>
      </c>
      <c r="C736" s="74">
        <v>-1726600</v>
      </c>
      <c r="D736" s="73">
        <v>42690</v>
      </c>
      <c r="E736" s="74">
        <v>23998.66</v>
      </c>
      <c r="F736" s="76"/>
    </row>
    <row r="737" spans="2:6">
      <c r="B737" s="73">
        <v>42667</v>
      </c>
      <c r="C737" s="74">
        <v>-774318</v>
      </c>
      <c r="D737" s="73">
        <v>42690</v>
      </c>
      <c r="E737" s="74">
        <v>-8785.7000000000007</v>
      </c>
      <c r="F737" s="76"/>
    </row>
    <row r="738" spans="2:6">
      <c r="B738" s="73">
        <v>42668</v>
      </c>
      <c r="C738" s="74">
        <v>-1151600</v>
      </c>
      <c r="D738" s="73">
        <v>42691</v>
      </c>
      <c r="E738" s="74">
        <v>-2675.59</v>
      </c>
      <c r="F738" s="76"/>
    </row>
    <row r="739" spans="2:6">
      <c r="B739" s="73">
        <v>42668</v>
      </c>
      <c r="C739" s="74">
        <v>-911733</v>
      </c>
      <c r="D739" s="73">
        <v>42691</v>
      </c>
      <c r="E739" s="74">
        <v>26.76</v>
      </c>
      <c r="F739" s="76"/>
    </row>
    <row r="740" spans="2:6">
      <c r="B740" s="73">
        <v>42670</v>
      </c>
      <c r="C740" s="74">
        <v>-1443600</v>
      </c>
      <c r="D740" s="73">
        <v>42691</v>
      </c>
      <c r="E740" s="74">
        <v>-9431.44</v>
      </c>
      <c r="F740" s="76"/>
    </row>
    <row r="741" spans="2:6">
      <c r="B741" s="73">
        <v>42671</v>
      </c>
      <c r="C741" s="74">
        <v>-1129662.5</v>
      </c>
      <c r="D741" s="73">
        <v>42691</v>
      </c>
      <c r="E741" s="74">
        <v>62336.29</v>
      </c>
      <c r="F741" s="76"/>
    </row>
    <row r="742" spans="2:6">
      <c r="B742" s="73">
        <v>42689</v>
      </c>
      <c r="C742" s="74">
        <v>-243150</v>
      </c>
      <c r="D742" s="73">
        <v>42692</v>
      </c>
      <c r="E742" s="74">
        <v>-1356.12</v>
      </c>
      <c r="F742" s="76"/>
    </row>
    <row r="743" spans="2:6">
      <c r="B743" s="73">
        <v>42703</v>
      </c>
      <c r="C743" s="74">
        <v>-161600</v>
      </c>
      <c r="D743" s="73">
        <v>42692</v>
      </c>
      <c r="E743" s="74">
        <v>-1944.13</v>
      </c>
      <c r="F743" s="76"/>
    </row>
    <row r="744" spans="2:6">
      <c r="B744" s="73">
        <v>42703</v>
      </c>
      <c r="C744" s="74">
        <v>-161600</v>
      </c>
      <c r="D744" s="73">
        <v>42692</v>
      </c>
      <c r="E744" s="74">
        <v>336431.91</v>
      </c>
      <c r="F744" s="76"/>
    </row>
    <row r="745" spans="2:6">
      <c r="B745" s="73">
        <v>42725</v>
      </c>
      <c r="C745" s="74">
        <v>-2943.2</v>
      </c>
      <c r="D745" s="73">
        <v>42695</v>
      </c>
      <c r="E745" s="74">
        <v>2056.02</v>
      </c>
      <c r="F745" s="76"/>
    </row>
    <row r="746" spans="2:6">
      <c r="B746" s="73">
        <v>42906</v>
      </c>
      <c r="C746" s="74">
        <v>8500687.7200000007</v>
      </c>
      <c r="D746" s="73">
        <v>42695</v>
      </c>
      <c r="E746" s="74">
        <v>27316.38</v>
      </c>
      <c r="F746" s="76"/>
    </row>
    <row r="747" spans="2:6">
      <c r="B747" s="73">
        <v>42916</v>
      </c>
      <c r="C747" s="74">
        <v>-121689.67</v>
      </c>
      <c r="D747" s="73">
        <v>42695</v>
      </c>
      <c r="E747" s="74">
        <v>-4442.53</v>
      </c>
      <c r="F747" s="76"/>
    </row>
    <row r="748" spans="2:6">
      <c r="D748" s="73">
        <v>42695</v>
      </c>
      <c r="E748" s="74">
        <v>-9487.17</v>
      </c>
      <c r="F748" s="76"/>
    </row>
    <row r="749" spans="2:6">
      <c r="D749" s="73">
        <v>42696</v>
      </c>
      <c r="E749" s="74">
        <v>4030.14</v>
      </c>
      <c r="F749" s="76"/>
    </row>
    <row r="750" spans="2:6">
      <c r="D750" s="73">
        <v>42696</v>
      </c>
      <c r="E750" s="74">
        <v>-5728.75</v>
      </c>
      <c r="F750" s="76"/>
    </row>
    <row r="751" spans="2:6">
      <c r="D751" s="73">
        <v>42696</v>
      </c>
      <c r="E751" s="74">
        <v>-23791.61</v>
      </c>
      <c r="F751" s="76"/>
    </row>
    <row r="752" spans="2:6">
      <c r="D752" s="73">
        <v>42697</v>
      </c>
      <c r="E752" s="74">
        <v>-373602.01</v>
      </c>
      <c r="F752" s="76"/>
    </row>
    <row r="753" spans="4:6">
      <c r="D753" s="73">
        <v>42697</v>
      </c>
      <c r="E753" s="74">
        <v>91226.6</v>
      </c>
      <c r="F753" s="76"/>
    </row>
    <row r="754" spans="4:6">
      <c r="D754" s="73">
        <v>42697</v>
      </c>
      <c r="E754" s="74">
        <v>-142.94</v>
      </c>
      <c r="F754" s="76"/>
    </row>
    <row r="755" spans="4:6">
      <c r="D755" s="73">
        <v>42698</v>
      </c>
      <c r="E755" s="74">
        <v>-79910.34</v>
      </c>
      <c r="F755" s="76"/>
    </row>
    <row r="756" spans="4:6">
      <c r="D756" s="73">
        <v>42698</v>
      </c>
      <c r="E756" s="74">
        <v>-92009.96</v>
      </c>
      <c r="F756" s="76"/>
    </row>
    <row r="757" spans="4:6">
      <c r="D757" s="73">
        <v>42698</v>
      </c>
      <c r="E757" s="74">
        <v>542.87</v>
      </c>
      <c r="F757" s="76"/>
    </row>
    <row r="758" spans="4:6">
      <c r="D758" s="73">
        <v>42699</v>
      </c>
      <c r="E758" s="74">
        <v>-1983.57</v>
      </c>
      <c r="F758" s="76"/>
    </row>
    <row r="759" spans="4:6">
      <c r="D759" s="73">
        <v>42699</v>
      </c>
      <c r="E759" s="74">
        <v>-13400.66</v>
      </c>
      <c r="F759" s="76"/>
    </row>
    <row r="760" spans="4:6">
      <c r="D760" s="73">
        <v>42699</v>
      </c>
      <c r="E760" s="74">
        <v>6806.41</v>
      </c>
      <c r="F760" s="76"/>
    </row>
    <row r="761" spans="4:6">
      <c r="D761" s="73">
        <v>42699</v>
      </c>
      <c r="E761" s="74">
        <v>-14824.35</v>
      </c>
      <c r="F761" s="76"/>
    </row>
    <row r="762" spans="4:6">
      <c r="D762" s="73">
        <v>42699</v>
      </c>
      <c r="E762" s="74">
        <v>1494.59</v>
      </c>
      <c r="F762" s="76"/>
    </row>
    <row r="763" spans="4:6">
      <c r="D763" s="73">
        <v>42702</v>
      </c>
      <c r="E763" s="74">
        <v>-4555.38</v>
      </c>
      <c r="F763" s="76"/>
    </row>
    <row r="764" spans="4:6">
      <c r="D764" s="73">
        <v>42702</v>
      </c>
      <c r="E764" s="74">
        <v>12265.72</v>
      </c>
      <c r="F764" s="76"/>
    </row>
    <row r="765" spans="4:6">
      <c r="D765" s="73">
        <v>42702</v>
      </c>
      <c r="E765" s="74">
        <v>-159793.57999999999</v>
      </c>
      <c r="F765" s="76"/>
    </row>
    <row r="766" spans="4:6">
      <c r="D766" s="73">
        <v>42702</v>
      </c>
      <c r="E766" s="74">
        <v>-66.41</v>
      </c>
      <c r="F766" s="76"/>
    </row>
    <row r="767" spans="4:6">
      <c r="D767" s="73">
        <v>42703</v>
      </c>
      <c r="E767" s="74">
        <v>148.41999999999999</v>
      </c>
      <c r="F767" s="76"/>
    </row>
    <row r="768" spans="4:6">
      <c r="D768" s="73">
        <v>42703</v>
      </c>
      <c r="E768" s="74">
        <v>-1038.96</v>
      </c>
      <c r="F768" s="76"/>
    </row>
    <row r="769" spans="4:6">
      <c r="D769" s="73">
        <v>42703</v>
      </c>
      <c r="E769" s="74">
        <v>-28134.52</v>
      </c>
      <c r="F769" s="76"/>
    </row>
    <row r="770" spans="4:6">
      <c r="D770" s="73">
        <v>42703</v>
      </c>
      <c r="E770" s="74">
        <v>-419.92</v>
      </c>
      <c r="F770" s="76"/>
    </row>
    <row r="771" spans="4:6">
      <c r="D771" s="73">
        <v>42703</v>
      </c>
      <c r="E771" s="74">
        <v>-30898.89</v>
      </c>
      <c r="F771" s="76"/>
    </row>
    <row r="772" spans="4:6">
      <c r="D772" s="73">
        <v>42703</v>
      </c>
      <c r="E772" s="74">
        <v>-4625799.17</v>
      </c>
      <c r="F772" s="76"/>
    </row>
    <row r="773" spans="4:6">
      <c r="D773" s="73">
        <v>42704</v>
      </c>
      <c r="E773" s="74">
        <v>30177.42</v>
      </c>
      <c r="F773" s="76"/>
    </row>
    <row r="774" spans="4:6">
      <c r="D774" s="73">
        <v>42704</v>
      </c>
      <c r="E774" s="74">
        <v>-7794.2</v>
      </c>
      <c r="F774" s="76"/>
    </row>
    <row r="775" spans="4:6">
      <c r="D775" s="73">
        <v>42704</v>
      </c>
      <c r="E775" s="74">
        <v>26992.02</v>
      </c>
      <c r="F775" s="76"/>
    </row>
    <row r="776" spans="4:6">
      <c r="D776" s="73">
        <v>42706</v>
      </c>
      <c r="E776" s="74">
        <v>835.75</v>
      </c>
      <c r="F776" s="76"/>
    </row>
    <row r="777" spans="4:6">
      <c r="D777" s="73">
        <v>42706</v>
      </c>
      <c r="E777" s="74">
        <v>-62.3</v>
      </c>
      <c r="F777" s="76"/>
    </row>
    <row r="778" spans="4:6">
      <c r="D778" s="73">
        <v>42706</v>
      </c>
      <c r="E778" s="74">
        <v>28298.880000000001</v>
      </c>
      <c r="F778" s="76"/>
    </row>
    <row r="779" spans="4:6">
      <c r="D779" s="73">
        <v>42706</v>
      </c>
      <c r="E779" s="74">
        <v>-15575.75</v>
      </c>
      <c r="F779" s="76"/>
    </row>
    <row r="780" spans="4:6">
      <c r="D780" s="73">
        <v>42706</v>
      </c>
      <c r="E780" s="74">
        <v>-835.75</v>
      </c>
      <c r="F780" s="76"/>
    </row>
    <row r="781" spans="4:6">
      <c r="D781" s="73">
        <v>42709</v>
      </c>
      <c r="E781" s="74">
        <v>1713.33</v>
      </c>
      <c r="F781" s="76"/>
    </row>
    <row r="782" spans="4:6">
      <c r="D782" s="73">
        <v>42709</v>
      </c>
      <c r="E782" s="74">
        <v>263934.02</v>
      </c>
      <c r="F782" s="76"/>
    </row>
    <row r="783" spans="4:6">
      <c r="D783" s="73">
        <v>42709</v>
      </c>
      <c r="E783" s="74">
        <v>-224763.67</v>
      </c>
      <c r="F783" s="76"/>
    </row>
    <row r="784" spans="4:6">
      <c r="D784" s="73">
        <v>42709</v>
      </c>
      <c r="E784" s="74">
        <v>-225382.76</v>
      </c>
      <c r="F784" s="76"/>
    </row>
    <row r="785" spans="4:6">
      <c r="D785" s="73">
        <v>42709</v>
      </c>
      <c r="E785" s="74">
        <v>-123.54</v>
      </c>
      <c r="F785" s="76"/>
    </row>
    <row r="786" spans="4:6">
      <c r="D786" s="73">
        <v>42710</v>
      </c>
      <c r="E786" s="74">
        <v>8.15</v>
      </c>
      <c r="F786" s="76"/>
    </row>
    <row r="787" spans="4:6">
      <c r="D787" s="73">
        <v>42710</v>
      </c>
      <c r="E787" s="74">
        <v>18338.88</v>
      </c>
      <c r="F787" s="76"/>
    </row>
    <row r="788" spans="4:6">
      <c r="D788" s="73">
        <v>42710</v>
      </c>
      <c r="E788" s="74">
        <v>-461.44</v>
      </c>
      <c r="F788" s="76"/>
    </row>
    <row r="789" spans="4:6">
      <c r="D789" s="73">
        <v>42710</v>
      </c>
      <c r="E789" s="74">
        <v>-60401.07</v>
      </c>
      <c r="F789" s="76"/>
    </row>
    <row r="790" spans="4:6">
      <c r="D790" s="73">
        <v>42711</v>
      </c>
      <c r="E790" s="74">
        <v>-1467.48</v>
      </c>
      <c r="F790" s="76"/>
    </row>
    <row r="791" spans="4:6">
      <c r="D791" s="73">
        <v>42711</v>
      </c>
      <c r="E791" s="74">
        <v>90686.37</v>
      </c>
      <c r="F791" s="76"/>
    </row>
    <row r="792" spans="4:6">
      <c r="D792" s="73">
        <v>42711</v>
      </c>
      <c r="E792" s="74">
        <v>-8748.16</v>
      </c>
      <c r="F792" s="76"/>
    </row>
    <row r="793" spans="4:6">
      <c r="D793" s="73">
        <v>42711</v>
      </c>
      <c r="E793" s="74">
        <v>-30166.12</v>
      </c>
      <c r="F793" s="76"/>
    </row>
    <row r="794" spans="4:6">
      <c r="D794" s="73">
        <v>42711</v>
      </c>
      <c r="E794" s="74">
        <v>53521.94</v>
      </c>
      <c r="F794" s="76"/>
    </row>
    <row r="795" spans="4:6">
      <c r="D795" s="73">
        <v>42712</v>
      </c>
      <c r="E795" s="74">
        <v>-428677.29</v>
      </c>
      <c r="F795" s="76"/>
    </row>
    <row r="796" spans="4:6">
      <c r="D796" s="73">
        <v>42712</v>
      </c>
      <c r="E796" s="74">
        <v>97235.15</v>
      </c>
      <c r="F796" s="76"/>
    </row>
    <row r="797" spans="4:6">
      <c r="D797" s="73">
        <v>42712</v>
      </c>
      <c r="E797" s="74">
        <v>526571.76</v>
      </c>
      <c r="F797" s="76"/>
    </row>
    <row r="798" spans="4:6">
      <c r="D798" s="73">
        <v>42712</v>
      </c>
      <c r="E798" s="74">
        <v>-10178.74</v>
      </c>
      <c r="F798" s="76"/>
    </row>
    <row r="799" spans="4:6">
      <c r="D799" s="73">
        <v>42713</v>
      </c>
      <c r="E799" s="74">
        <v>-9324.5499999999993</v>
      </c>
      <c r="F799" s="76"/>
    </row>
    <row r="800" spans="4:6">
      <c r="D800" s="73">
        <v>42713</v>
      </c>
      <c r="E800" s="74">
        <v>-242695.88</v>
      </c>
      <c r="F800" s="76"/>
    </row>
    <row r="801" spans="4:6">
      <c r="D801" s="73">
        <v>42713</v>
      </c>
      <c r="E801" s="74">
        <v>-857.14</v>
      </c>
      <c r="F801" s="76"/>
    </row>
    <row r="802" spans="4:6">
      <c r="D802" s="73">
        <v>42713</v>
      </c>
      <c r="E802" s="74">
        <v>2060.9499999999998</v>
      </c>
      <c r="F802" s="76"/>
    </row>
    <row r="803" spans="4:6">
      <c r="D803" s="73">
        <v>42713</v>
      </c>
      <c r="E803" s="74">
        <v>22243.65</v>
      </c>
      <c r="F803" s="76"/>
    </row>
    <row r="804" spans="4:6">
      <c r="D804" s="73">
        <v>42713</v>
      </c>
      <c r="E804" s="74">
        <v>-103536.65</v>
      </c>
      <c r="F804" s="76"/>
    </row>
    <row r="805" spans="4:6">
      <c r="D805" s="73">
        <v>42713</v>
      </c>
      <c r="E805" s="74">
        <v>-523065.53</v>
      </c>
      <c r="F805" s="76"/>
    </row>
    <row r="806" spans="4:6">
      <c r="D806" s="73">
        <v>42713</v>
      </c>
      <c r="E806" s="74">
        <v>-15223.73</v>
      </c>
      <c r="F806" s="76"/>
    </row>
    <row r="807" spans="4:6">
      <c r="D807" s="73">
        <v>42718</v>
      </c>
      <c r="E807" s="74">
        <v>17650.25</v>
      </c>
      <c r="F807" s="76"/>
    </row>
    <row r="808" spans="4:6">
      <c r="D808" s="73">
        <v>42718</v>
      </c>
      <c r="E808" s="74">
        <v>-455570.78</v>
      </c>
      <c r="F808" s="76"/>
    </row>
    <row r="809" spans="4:6">
      <c r="D809" s="73">
        <v>42718</v>
      </c>
      <c r="E809" s="74">
        <v>-902.8</v>
      </c>
      <c r="F809" s="76"/>
    </row>
    <row r="810" spans="4:6">
      <c r="D810" s="73">
        <v>42718</v>
      </c>
      <c r="E810" s="74">
        <v>-168925.95</v>
      </c>
      <c r="F810" s="76"/>
    </row>
    <row r="811" spans="4:6">
      <c r="D811" s="73">
        <v>42719</v>
      </c>
      <c r="E811" s="74">
        <v>275011.78000000003</v>
      </c>
      <c r="F811" s="76"/>
    </row>
    <row r="812" spans="4:6">
      <c r="D812" s="73">
        <v>42719</v>
      </c>
      <c r="E812" s="74">
        <v>-552691.21</v>
      </c>
      <c r="F812" s="76"/>
    </row>
    <row r="813" spans="4:6">
      <c r="D813" s="73">
        <v>42719</v>
      </c>
      <c r="E813" s="74">
        <v>166489.17000000001</v>
      </c>
      <c r="F813" s="76"/>
    </row>
    <row r="814" spans="4:6">
      <c r="D814" s="73">
        <v>42719</v>
      </c>
      <c r="E814" s="74">
        <v>-70469.62</v>
      </c>
      <c r="F814" s="76"/>
    </row>
    <row r="815" spans="4:6">
      <c r="D815" s="73">
        <v>42720</v>
      </c>
      <c r="E815" s="74">
        <v>-1283547.1200000001</v>
      </c>
      <c r="F815" s="76"/>
    </row>
    <row r="816" spans="4:6">
      <c r="D816" s="73">
        <v>42720</v>
      </c>
      <c r="E816" s="74">
        <v>483.44</v>
      </c>
      <c r="F816" s="76"/>
    </row>
    <row r="817" spans="4:6">
      <c r="D817" s="73">
        <v>42720</v>
      </c>
      <c r="E817" s="74">
        <v>-26553.4</v>
      </c>
      <c r="F817" s="76"/>
    </row>
    <row r="818" spans="4:6">
      <c r="D818" s="73">
        <v>42723</v>
      </c>
      <c r="E818" s="74">
        <v>35.89</v>
      </c>
      <c r="F818" s="76"/>
    </row>
    <row r="819" spans="4:6">
      <c r="D819" s="73">
        <v>42723</v>
      </c>
      <c r="E819" s="74">
        <v>88.99</v>
      </c>
      <c r="F819" s="76"/>
    </row>
    <row r="820" spans="4:6">
      <c r="D820" s="73">
        <v>42723</v>
      </c>
      <c r="E820" s="74">
        <v>46422.879999999997</v>
      </c>
      <c r="F820" s="76"/>
    </row>
    <row r="821" spans="4:6">
      <c r="D821" s="73">
        <v>42723</v>
      </c>
      <c r="E821" s="74">
        <v>-3937.64</v>
      </c>
      <c r="F821" s="76"/>
    </row>
    <row r="822" spans="4:6">
      <c r="D822" s="73">
        <v>42723</v>
      </c>
      <c r="E822" s="74">
        <v>42172.81</v>
      </c>
      <c r="F822" s="76"/>
    </row>
    <row r="823" spans="4:6">
      <c r="D823" s="73">
        <v>42723</v>
      </c>
      <c r="E823" s="74">
        <v>-470060.79999999999</v>
      </c>
      <c r="F823" s="76"/>
    </row>
    <row r="824" spans="4:6">
      <c r="D824" s="73">
        <v>42723</v>
      </c>
      <c r="E824" s="74">
        <v>-14192.85</v>
      </c>
      <c r="F824" s="76"/>
    </row>
    <row r="825" spans="4:6">
      <c r="D825" s="73">
        <v>42724</v>
      </c>
      <c r="E825" s="74">
        <v>924798.22</v>
      </c>
      <c r="F825" s="76"/>
    </row>
    <row r="826" spans="4:6">
      <c r="D826" s="73">
        <v>42724</v>
      </c>
      <c r="E826" s="74">
        <v>-5.84</v>
      </c>
      <c r="F826" s="76"/>
    </row>
    <row r="827" spans="4:6">
      <c r="D827" s="73">
        <v>42724</v>
      </c>
      <c r="E827" s="74">
        <v>94810.33</v>
      </c>
      <c r="F827" s="76"/>
    </row>
    <row r="828" spans="4:6">
      <c r="D828" s="73">
        <v>42724</v>
      </c>
      <c r="E828" s="74">
        <v>-1137.4000000000001</v>
      </c>
      <c r="F828" s="76"/>
    </row>
    <row r="829" spans="4:6">
      <c r="D829" s="73">
        <v>42724</v>
      </c>
      <c r="E829" s="74">
        <v>-114578.82</v>
      </c>
      <c r="F829" s="76"/>
    </row>
    <row r="830" spans="4:6">
      <c r="D830" s="73">
        <v>42725</v>
      </c>
      <c r="E830" s="74">
        <v>-18491.12</v>
      </c>
      <c r="F830" s="76"/>
    </row>
    <row r="831" spans="4:6">
      <c r="D831" s="73">
        <v>42725</v>
      </c>
      <c r="E831" s="74">
        <v>171822.72</v>
      </c>
      <c r="F831" s="76"/>
    </row>
    <row r="832" spans="4:6">
      <c r="D832" s="73">
        <v>42725</v>
      </c>
      <c r="E832" s="74">
        <v>-19901.45</v>
      </c>
      <c r="F832" s="76"/>
    </row>
    <row r="833" spans="4:6">
      <c r="D833" s="73">
        <v>42725</v>
      </c>
      <c r="E833" s="74">
        <v>-281459.90000000002</v>
      </c>
      <c r="F833" s="76"/>
    </row>
    <row r="834" spans="4:6">
      <c r="D834" s="73">
        <v>42726</v>
      </c>
      <c r="E834" s="74">
        <v>161425.53</v>
      </c>
      <c r="F834" s="76"/>
    </row>
    <row r="835" spans="4:6">
      <c r="D835" s="73">
        <v>42726</v>
      </c>
      <c r="E835" s="74">
        <v>-5547.34</v>
      </c>
      <c r="F835" s="76"/>
    </row>
    <row r="836" spans="4:6">
      <c r="D836" s="73">
        <v>42726</v>
      </c>
      <c r="E836" s="74">
        <v>-29599.15</v>
      </c>
      <c r="F836" s="76"/>
    </row>
    <row r="837" spans="4:6">
      <c r="D837" s="73">
        <v>42726</v>
      </c>
      <c r="E837" s="74">
        <v>-3967.01</v>
      </c>
      <c r="F837" s="76"/>
    </row>
    <row r="838" spans="4:6">
      <c r="D838" s="73">
        <v>42727</v>
      </c>
      <c r="E838" s="74">
        <v>-153335.41</v>
      </c>
      <c r="F838" s="76"/>
    </row>
    <row r="839" spans="4:6">
      <c r="D839" s="73">
        <v>42727</v>
      </c>
      <c r="E839" s="74">
        <v>52506.68</v>
      </c>
      <c r="F839" s="76"/>
    </row>
    <row r="840" spans="4:6">
      <c r="D840" s="73">
        <v>42727</v>
      </c>
      <c r="E840" s="74">
        <v>-16501.18</v>
      </c>
      <c r="F840" s="76"/>
    </row>
    <row r="841" spans="4:6">
      <c r="D841" s="73">
        <v>42727</v>
      </c>
      <c r="E841" s="74">
        <v>7711.99</v>
      </c>
      <c r="F841" s="76"/>
    </row>
    <row r="842" spans="4:6">
      <c r="D842" s="73">
        <v>42730</v>
      </c>
      <c r="E842" s="74">
        <v>-9336.2900000000009</v>
      </c>
      <c r="F842" s="76"/>
    </row>
    <row r="843" spans="4:6">
      <c r="D843" s="73">
        <v>42730</v>
      </c>
      <c r="E843" s="74">
        <v>-284786.59999999998</v>
      </c>
      <c r="F843" s="76"/>
    </row>
    <row r="844" spans="4:6">
      <c r="D844" s="73">
        <v>42730</v>
      </c>
      <c r="E844" s="74">
        <v>111501.09</v>
      </c>
      <c r="F844" s="76"/>
    </row>
    <row r="845" spans="4:6">
      <c r="D845" s="73">
        <v>42730</v>
      </c>
      <c r="E845" s="74">
        <v>1121569.42</v>
      </c>
      <c r="F845" s="76"/>
    </row>
    <row r="846" spans="4:6">
      <c r="D846" s="73">
        <v>42730</v>
      </c>
      <c r="E846" s="74">
        <v>-19426.53</v>
      </c>
      <c r="F846" s="76"/>
    </row>
    <row r="847" spans="4:6">
      <c r="D847" s="73">
        <v>42731</v>
      </c>
      <c r="E847" s="74">
        <v>31714.15</v>
      </c>
      <c r="F847" s="76"/>
    </row>
    <row r="848" spans="4:6">
      <c r="D848" s="73">
        <v>42731</v>
      </c>
      <c r="E848" s="74">
        <v>-29315.95</v>
      </c>
      <c r="F848" s="76"/>
    </row>
    <row r="849" spans="4:6">
      <c r="D849" s="73">
        <v>42731</v>
      </c>
      <c r="E849" s="74">
        <v>-1097.33</v>
      </c>
      <c r="F849" s="76"/>
    </row>
    <row r="850" spans="4:6">
      <c r="D850" s="73">
        <v>42731</v>
      </c>
      <c r="E850" s="74">
        <v>-418803.16</v>
      </c>
      <c r="F850" s="76"/>
    </row>
    <row r="851" spans="4:6">
      <c r="D851" s="73">
        <v>42732</v>
      </c>
      <c r="E851" s="74">
        <v>98260.08</v>
      </c>
      <c r="F851" s="76"/>
    </row>
    <row r="852" spans="4:6">
      <c r="D852" s="73">
        <v>42732</v>
      </c>
      <c r="E852" s="74">
        <v>-1642116.35</v>
      </c>
      <c r="F852" s="76"/>
    </row>
    <row r="853" spans="4:6">
      <c r="D853" s="73">
        <v>42732</v>
      </c>
      <c r="E853" s="74">
        <v>-50456.39</v>
      </c>
      <c r="F853" s="76"/>
    </row>
    <row r="854" spans="4:6">
      <c r="D854" s="73">
        <v>42733</v>
      </c>
      <c r="E854" s="74">
        <v>-66605.11</v>
      </c>
      <c r="F854" s="76"/>
    </row>
    <row r="855" spans="4:6">
      <c r="D855" s="73">
        <v>42733</v>
      </c>
      <c r="E855" s="74">
        <v>101019.02</v>
      </c>
      <c r="F855" s="76"/>
    </row>
    <row r="856" spans="4:6">
      <c r="D856" s="73">
        <v>42733</v>
      </c>
      <c r="E856" s="74">
        <v>193046.93</v>
      </c>
      <c r="F856" s="76"/>
    </row>
    <row r="857" spans="4:6">
      <c r="D857" s="73">
        <v>42733</v>
      </c>
      <c r="E857" s="74">
        <v>-11529.93</v>
      </c>
      <c r="F857" s="76"/>
    </row>
    <row r="858" spans="4:6">
      <c r="D858" s="73">
        <v>42734</v>
      </c>
      <c r="E858" s="74">
        <v>1337118.96</v>
      </c>
      <c r="F858" s="76"/>
    </row>
    <row r="859" spans="4:6">
      <c r="D859" s="73">
        <v>42734</v>
      </c>
      <c r="E859" s="74">
        <v>-44467.11</v>
      </c>
      <c r="F859" s="76"/>
    </row>
    <row r="860" spans="4:6">
      <c r="D860" s="73">
        <v>42734</v>
      </c>
      <c r="E860" s="74">
        <v>-72000.31</v>
      </c>
      <c r="F860" s="76"/>
    </row>
    <row r="861" spans="4:6">
      <c r="D861" s="73">
        <v>42734</v>
      </c>
      <c r="E861" s="74">
        <v>-97823.26</v>
      </c>
      <c r="F861" s="76"/>
    </row>
    <row r="862" spans="4:6">
      <c r="D862" s="73">
        <v>42734</v>
      </c>
      <c r="E862" s="74">
        <v>-19321.740000000002</v>
      </c>
      <c r="F862" s="76"/>
    </row>
    <row r="863" spans="4:6">
      <c r="D863" s="73">
        <v>42734</v>
      </c>
      <c r="E863" s="74">
        <v>21474.959999999999</v>
      </c>
      <c r="F863" s="76"/>
    </row>
    <row r="864" spans="4:6">
      <c r="D864" s="73">
        <v>42734</v>
      </c>
      <c r="E864" s="74">
        <v>17018856.780000001</v>
      </c>
      <c r="F864" s="76"/>
    </row>
    <row r="865" spans="4:6">
      <c r="D865" s="73">
        <v>42734</v>
      </c>
      <c r="E865" s="74">
        <v>1669504.03</v>
      </c>
      <c r="F865" s="76"/>
    </row>
    <row r="866" spans="4:6">
      <c r="D866" s="73">
        <v>42738</v>
      </c>
      <c r="E866" s="74">
        <v>-1040.5899999999999</v>
      </c>
      <c r="F866" s="76"/>
    </row>
    <row r="867" spans="4:6">
      <c r="D867" s="73">
        <v>42738</v>
      </c>
      <c r="E867" s="74">
        <v>-12388.14</v>
      </c>
      <c r="F867" s="76"/>
    </row>
    <row r="868" spans="4:6">
      <c r="D868" s="73">
        <v>42739</v>
      </c>
      <c r="E868" s="74">
        <v>5071.21</v>
      </c>
      <c r="F868" s="76"/>
    </row>
    <row r="869" spans="4:6">
      <c r="D869" s="73">
        <v>42740</v>
      </c>
      <c r="E869" s="74">
        <v>9.69</v>
      </c>
      <c r="F869" s="76"/>
    </row>
    <row r="870" spans="4:6">
      <c r="D870" s="73">
        <v>42740</v>
      </c>
      <c r="E870" s="74">
        <v>27900.03</v>
      </c>
      <c r="F870" s="76"/>
    </row>
    <row r="871" spans="4:6">
      <c r="D871" s="73">
        <v>42740</v>
      </c>
      <c r="E871" s="74">
        <v>-20516.669999999998</v>
      </c>
      <c r="F871" s="76"/>
    </row>
    <row r="872" spans="4:6">
      <c r="D872" s="73">
        <v>42740</v>
      </c>
      <c r="E872" s="74">
        <v>-163404.07999999999</v>
      </c>
      <c r="F872" s="76"/>
    </row>
    <row r="873" spans="4:6">
      <c r="D873" s="73">
        <v>42740</v>
      </c>
      <c r="E873" s="74">
        <v>-54551.58</v>
      </c>
      <c r="F873" s="76"/>
    </row>
    <row r="874" spans="4:6">
      <c r="D874" s="73">
        <v>42741</v>
      </c>
      <c r="E874" s="74">
        <v>-191717.99</v>
      </c>
      <c r="F874" s="76"/>
    </row>
    <row r="875" spans="4:6">
      <c r="D875" s="73">
        <v>42741</v>
      </c>
      <c r="E875" s="74">
        <v>1393070.6</v>
      </c>
      <c r="F875" s="76"/>
    </row>
    <row r="876" spans="4:6">
      <c r="D876" s="73">
        <v>42741</v>
      </c>
      <c r="E876" s="74">
        <v>-14157.31</v>
      </c>
      <c r="F876" s="76"/>
    </row>
    <row r="877" spans="4:6">
      <c r="D877" s="73">
        <v>42741</v>
      </c>
      <c r="E877" s="74">
        <v>142116.41</v>
      </c>
      <c r="F877" s="76"/>
    </row>
    <row r="878" spans="4:6">
      <c r="D878" s="73">
        <v>42744</v>
      </c>
      <c r="E878" s="74">
        <v>-5870.41</v>
      </c>
      <c r="F878" s="76"/>
    </row>
    <row r="879" spans="4:6">
      <c r="D879" s="73">
        <v>42744</v>
      </c>
      <c r="E879" s="74">
        <v>3773.12</v>
      </c>
      <c r="F879" s="76"/>
    </row>
    <row r="880" spans="4:6">
      <c r="D880" s="73">
        <v>42744</v>
      </c>
      <c r="E880" s="74">
        <v>-66500.5</v>
      </c>
      <c r="F880" s="76"/>
    </row>
    <row r="881" spans="4:6">
      <c r="D881" s="73">
        <v>42744</v>
      </c>
      <c r="E881" s="74">
        <v>592848.30000000005</v>
      </c>
      <c r="F881" s="76"/>
    </row>
    <row r="882" spans="4:6">
      <c r="D882" s="73">
        <v>42744</v>
      </c>
      <c r="E882" s="74">
        <v>-175659.5</v>
      </c>
      <c r="F882" s="76"/>
    </row>
    <row r="883" spans="4:6">
      <c r="D883" s="73">
        <v>42745</v>
      </c>
      <c r="E883" s="74">
        <v>716986.56</v>
      </c>
      <c r="F883" s="76"/>
    </row>
    <row r="884" spans="4:6">
      <c r="D884" s="73">
        <v>42745</v>
      </c>
      <c r="E884" s="74">
        <v>-139492.19</v>
      </c>
      <c r="F884" s="76"/>
    </row>
    <row r="885" spans="4:6">
      <c r="D885" s="73">
        <v>42745</v>
      </c>
      <c r="E885" s="74">
        <v>-121427.49</v>
      </c>
      <c r="F885" s="76"/>
    </row>
    <row r="886" spans="4:6">
      <c r="D886" s="73">
        <v>42746</v>
      </c>
      <c r="E886" s="74">
        <v>-15647.37</v>
      </c>
      <c r="F886" s="76"/>
    </row>
    <row r="887" spans="4:6">
      <c r="D887" s="73">
        <v>42746</v>
      </c>
      <c r="E887" s="74">
        <v>-450.62</v>
      </c>
      <c r="F887" s="76"/>
    </row>
    <row r="888" spans="4:6">
      <c r="D888" s="73">
        <v>42746</v>
      </c>
      <c r="E888" s="74">
        <v>70173.05</v>
      </c>
      <c r="F888" s="76"/>
    </row>
    <row r="889" spans="4:6">
      <c r="D889" s="73">
        <v>42746</v>
      </c>
      <c r="E889" s="74">
        <v>-9674.15</v>
      </c>
      <c r="F889" s="76"/>
    </row>
    <row r="890" spans="4:6">
      <c r="D890" s="73">
        <v>42746</v>
      </c>
      <c r="E890" s="74">
        <v>19568.03</v>
      </c>
      <c r="F890" s="76"/>
    </row>
    <row r="891" spans="4:6">
      <c r="D891" s="73">
        <v>42747</v>
      </c>
      <c r="E891" s="74">
        <v>58179.62</v>
      </c>
      <c r="F891" s="76"/>
    </row>
    <row r="892" spans="4:6">
      <c r="D892" s="73">
        <v>42747</v>
      </c>
      <c r="E892" s="74">
        <v>-32598.97</v>
      </c>
      <c r="F892" s="76"/>
    </row>
    <row r="893" spans="4:6">
      <c r="D893" s="73">
        <v>42747</v>
      </c>
      <c r="E893" s="74">
        <v>29135.82</v>
      </c>
      <c r="F893" s="76"/>
    </row>
    <row r="894" spans="4:6">
      <c r="D894" s="73">
        <v>42747</v>
      </c>
      <c r="E894" s="74">
        <v>-51952.62</v>
      </c>
      <c r="F894" s="76"/>
    </row>
    <row r="895" spans="4:6">
      <c r="D895" s="73">
        <v>42747</v>
      </c>
      <c r="E895" s="74">
        <v>-29721.26</v>
      </c>
      <c r="F895" s="76"/>
    </row>
    <row r="896" spans="4:6">
      <c r="D896" s="73">
        <v>42747</v>
      </c>
      <c r="E896" s="74">
        <v>-406133.55</v>
      </c>
      <c r="F896" s="76"/>
    </row>
    <row r="897" spans="4:6">
      <c r="D897" s="73">
        <v>42747</v>
      </c>
      <c r="E897" s="74">
        <v>674.41</v>
      </c>
      <c r="F897" s="76"/>
    </row>
    <row r="898" spans="4:6">
      <c r="D898" s="73">
        <v>42747</v>
      </c>
      <c r="E898" s="74">
        <v>10055.35</v>
      </c>
      <c r="F898" s="76"/>
    </row>
    <row r="899" spans="4:6">
      <c r="D899" s="73">
        <v>42751</v>
      </c>
      <c r="E899" s="74">
        <v>-3716.93</v>
      </c>
      <c r="F899" s="76"/>
    </row>
    <row r="900" spans="4:6">
      <c r="D900" s="73">
        <v>42751</v>
      </c>
      <c r="E900" s="74">
        <v>1610.66</v>
      </c>
      <c r="F900" s="76"/>
    </row>
    <row r="901" spans="4:6">
      <c r="D901" s="73">
        <v>42751</v>
      </c>
      <c r="E901" s="74">
        <v>-8016.07</v>
      </c>
      <c r="F901" s="76"/>
    </row>
    <row r="902" spans="4:6">
      <c r="D902" s="73">
        <v>42752</v>
      </c>
      <c r="E902" s="74">
        <v>1248.3900000000001</v>
      </c>
      <c r="F902" s="76"/>
    </row>
    <row r="903" spans="4:6">
      <c r="D903" s="73">
        <v>42752</v>
      </c>
      <c r="E903" s="74">
        <v>-3354.04</v>
      </c>
      <c r="F903" s="76"/>
    </row>
    <row r="904" spans="4:6">
      <c r="D904" s="73">
        <v>42752</v>
      </c>
      <c r="E904" s="74">
        <v>-514123.93</v>
      </c>
      <c r="F904" s="76"/>
    </row>
    <row r="905" spans="4:6">
      <c r="D905" s="73">
        <v>42752</v>
      </c>
      <c r="E905" s="74">
        <v>1533239.23</v>
      </c>
      <c r="F905" s="76"/>
    </row>
    <row r="906" spans="4:6">
      <c r="D906" s="73">
        <v>42753</v>
      </c>
      <c r="E906" s="74">
        <v>-7906.43</v>
      </c>
      <c r="F906" s="76"/>
    </row>
    <row r="907" spans="4:6">
      <c r="D907" s="73">
        <v>42753</v>
      </c>
      <c r="E907" s="74">
        <v>124.84</v>
      </c>
      <c r="F907" s="76"/>
    </row>
    <row r="908" spans="4:6">
      <c r="D908" s="73">
        <v>42753</v>
      </c>
      <c r="E908" s="74">
        <v>51.01</v>
      </c>
      <c r="F908" s="76"/>
    </row>
    <row r="909" spans="4:6">
      <c r="D909" s="73">
        <v>42753</v>
      </c>
      <c r="E909" s="74">
        <v>-13016.27</v>
      </c>
      <c r="F909" s="76"/>
    </row>
    <row r="910" spans="4:6">
      <c r="D910" s="73">
        <v>42753</v>
      </c>
      <c r="E910" s="74">
        <v>572156.26</v>
      </c>
      <c r="F910" s="76"/>
    </row>
    <row r="911" spans="4:6">
      <c r="D911" s="73">
        <v>42754</v>
      </c>
      <c r="E911" s="74">
        <v>321314.45</v>
      </c>
      <c r="F911" s="76"/>
    </row>
    <row r="912" spans="4:6">
      <c r="D912" s="73">
        <v>42754</v>
      </c>
      <c r="E912" s="74">
        <v>-246227.01</v>
      </c>
      <c r="F912" s="76"/>
    </row>
    <row r="913" spans="4:6">
      <c r="D913" s="73">
        <v>42754</v>
      </c>
      <c r="E913" s="74">
        <v>153828.75</v>
      </c>
      <c r="F913" s="76"/>
    </row>
    <row r="914" spans="4:6">
      <c r="D914" s="73">
        <v>42754</v>
      </c>
      <c r="E914" s="74">
        <v>-40342.79</v>
      </c>
      <c r="F914" s="76"/>
    </row>
    <row r="915" spans="4:6">
      <c r="D915" s="73">
        <v>42755</v>
      </c>
      <c r="E915" s="74">
        <v>-200834.72</v>
      </c>
      <c r="F915" s="76"/>
    </row>
    <row r="916" spans="4:6">
      <c r="D916" s="73">
        <v>42755</v>
      </c>
      <c r="E916" s="74">
        <v>-159877.64000000001</v>
      </c>
      <c r="F916" s="76"/>
    </row>
    <row r="917" spans="4:6">
      <c r="D917" s="73">
        <v>42755</v>
      </c>
      <c r="E917" s="74">
        <v>23317.43</v>
      </c>
      <c r="F917" s="76"/>
    </row>
    <row r="918" spans="4:6">
      <c r="D918" s="73">
        <v>42755</v>
      </c>
      <c r="E918" s="74">
        <v>1284.17</v>
      </c>
      <c r="F918" s="76"/>
    </row>
    <row r="919" spans="4:6">
      <c r="D919" s="73">
        <v>42758</v>
      </c>
      <c r="E919" s="74">
        <v>-269774.90999999997</v>
      </c>
      <c r="F919" s="76"/>
    </row>
    <row r="920" spans="4:6">
      <c r="D920" s="73">
        <v>42758</v>
      </c>
      <c r="E920" s="74">
        <v>-646.54999999999995</v>
      </c>
      <c r="F920" s="76"/>
    </row>
    <row r="921" spans="4:6">
      <c r="D921" s="73">
        <v>42758</v>
      </c>
      <c r="E921" s="74">
        <v>-187606.13</v>
      </c>
      <c r="F921" s="76"/>
    </row>
    <row r="922" spans="4:6">
      <c r="D922" s="73">
        <v>42758</v>
      </c>
      <c r="E922" s="74">
        <v>11184.15</v>
      </c>
      <c r="F922" s="76"/>
    </row>
    <row r="923" spans="4:6">
      <c r="D923" s="73">
        <v>42759</v>
      </c>
      <c r="E923" s="74">
        <v>50555.17</v>
      </c>
      <c r="F923" s="76"/>
    </row>
    <row r="924" spans="4:6">
      <c r="D924" s="73">
        <v>42759</v>
      </c>
      <c r="E924" s="74">
        <v>38549.839999999997</v>
      </c>
      <c r="F924" s="76"/>
    </row>
    <row r="925" spans="4:6">
      <c r="D925" s="73">
        <v>42759</v>
      </c>
      <c r="E925" s="74">
        <v>-6049008.6200000001</v>
      </c>
      <c r="F925" s="76"/>
    </row>
    <row r="926" spans="4:6">
      <c r="D926" s="73">
        <v>42759</v>
      </c>
      <c r="E926" s="74">
        <v>-52852.01</v>
      </c>
      <c r="F926" s="76"/>
    </row>
    <row r="927" spans="4:6">
      <c r="D927" s="73">
        <v>42759</v>
      </c>
      <c r="E927" s="74">
        <v>-66084.320000000007</v>
      </c>
      <c r="F927" s="76"/>
    </row>
    <row r="928" spans="4:6">
      <c r="D928" s="73">
        <v>42759</v>
      </c>
      <c r="E928" s="74">
        <v>-121909.73</v>
      </c>
      <c r="F928" s="76"/>
    </row>
    <row r="929" spans="4:6">
      <c r="D929" s="73">
        <v>42761</v>
      </c>
      <c r="E929" s="74">
        <v>12720.35</v>
      </c>
      <c r="F929" s="76"/>
    </row>
    <row r="930" spans="4:6">
      <c r="D930" s="73">
        <v>42761</v>
      </c>
      <c r="E930" s="74">
        <v>-766535.13</v>
      </c>
      <c r="F930" s="76"/>
    </row>
    <row r="931" spans="4:6">
      <c r="D931" s="73">
        <v>42761</v>
      </c>
      <c r="E931" s="74">
        <v>6510.18</v>
      </c>
      <c r="F931" s="76"/>
    </row>
    <row r="932" spans="4:6">
      <c r="D932" s="73">
        <v>42761</v>
      </c>
      <c r="E932" s="74">
        <v>-164990.68</v>
      </c>
      <c r="F932" s="76"/>
    </row>
    <row r="933" spans="4:6">
      <c r="D933" s="73">
        <v>42762</v>
      </c>
      <c r="E933" s="74">
        <v>22396.05</v>
      </c>
      <c r="F933" s="76"/>
    </row>
    <row r="934" spans="4:6">
      <c r="D934" s="73">
        <v>42762</v>
      </c>
      <c r="E934" s="74">
        <v>-538.76</v>
      </c>
      <c r="F934" s="76"/>
    </row>
    <row r="935" spans="4:6">
      <c r="D935" s="73">
        <v>42762</v>
      </c>
      <c r="E935" s="74">
        <v>-55543.3</v>
      </c>
      <c r="F935" s="76"/>
    </row>
    <row r="936" spans="4:6">
      <c r="D936" s="73">
        <v>42762</v>
      </c>
      <c r="E936" s="74">
        <v>-310607.93</v>
      </c>
      <c r="F936" s="76"/>
    </row>
    <row r="937" spans="4:6">
      <c r="D937" s="73">
        <v>42762</v>
      </c>
      <c r="E937" s="74">
        <v>7965.32</v>
      </c>
      <c r="F937" s="76"/>
    </row>
    <row r="938" spans="4:6">
      <c r="D938" s="73">
        <v>42762</v>
      </c>
      <c r="E938" s="74">
        <v>-673.5</v>
      </c>
      <c r="F938" s="76"/>
    </row>
    <row r="939" spans="4:6">
      <c r="D939" s="73">
        <v>42762</v>
      </c>
      <c r="E939" s="74">
        <v>-12568554.08</v>
      </c>
      <c r="F939" s="76"/>
    </row>
    <row r="940" spans="4:6">
      <c r="D940" s="73">
        <v>42766</v>
      </c>
      <c r="E940" s="74">
        <v>-11269.34</v>
      </c>
      <c r="F940" s="76"/>
    </row>
    <row r="941" spans="4:6">
      <c r="D941" s="73">
        <v>42766</v>
      </c>
      <c r="E941" s="74">
        <v>-2815.42</v>
      </c>
      <c r="F941" s="76"/>
    </row>
    <row r="942" spans="4:6">
      <c r="D942" s="73">
        <v>42766</v>
      </c>
      <c r="E942" s="74">
        <v>19693.150000000001</v>
      </c>
      <c r="F942" s="76"/>
    </row>
    <row r="943" spans="4:6">
      <c r="D943" s="73">
        <v>42766</v>
      </c>
      <c r="E943" s="74">
        <v>-12813897.300000001</v>
      </c>
      <c r="F943" s="76"/>
    </row>
    <row r="944" spans="4:6">
      <c r="D944" s="73">
        <v>42766</v>
      </c>
      <c r="E944" s="74">
        <v>1373.88</v>
      </c>
      <c r="F944" s="76"/>
    </row>
    <row r="945" spans="4:6">
      <c r="D945" s="73">
        <v>42766</v>
      </c>
      <c r="E945" s="74">
        <v>138808.42000000001</v>
      </c>
      <c r="F945" s="76"/>
    </row>
    <row r="946" spans="4:6">
      <c r="D946" s="73">
        <v>42766</v>
      </c>
      <c r="E946" s="74">
        <v>-76033.350000000006</v>
      </c>
      <c r="F946" s="76"/>
    </row>
    <row r="947" spans="4:6">
      <c r="D947" s="73">
        <v>42768</v>
      </c>
      <c r="E947" s="74">
        <v>-10995.88</v>
      </c>
      <c r="F947" s="76"/>
    </row>
    <row r="948" spans="4:6">
      <c r="D948" s="73">
        <v>42768</v>
      </c>
      <c r="E948" s="74">
        <v>2989.01</v>
      </c>
      <c r="F948" s="76"/>
    </row>
    <row r="949" spans="4:6">
      <c r="D949" s="73">
        <v>42768</v>
      </c>
      <c r="E949" s="74">
        <v>-5603.37</v>
      </c>
      <c r="F949" s="76"/>
    </row>
    <row r="950" spans="4:6">
      <c r="D950" s="73">
        <v>42768</v>
      </c>
      <c r="E950" s="74">
        <v>-124302.87</v>
      </c>
      <c r="F950" s="76"/>
    </row>
    <row r="951" spans="4:6">
      <c r="D951" s="73">
        <v>42769</v>
      </c>
      <c r="E951" s="74">
        <v>18868.95</v>
      </c>
      <c r="F951" s="76"/>
    </row>
    <row r="952" spans="4:6">
      <c r="D952" s="73">
        <v>42769</v>
      </c>
      <c r="E952" s="74">
        <v>-97566.74</v>
      </c>
      <c r="F952" s="76"/>
    </row>
    <row r="953" spans="4:6">
      <c r="D953" s="73">
        <v>42769</v>
      </c>
      <c r="E953" s="74">
        <v>-332801.96000000002</v>
      </c>
      <c r="F953" s="76"/>
    </row>
    <row r="954" spans="4:6">
      <c r="D954" s="73">
        <v>42772</v>
      </c>
      <c r="E954" s="74">
        <v>2791111.26</v>
      </c>
      <c r="F954" s="76"/>
    </row>
    <row r="955" spans="4:6">
      <c r="D955" s="73">
        <v>42772</v>
      </c>
      <c r="E955" s="74">
        <v>-1436.41</v>
      </c>
      <c r="F955" s="76"/>
    </row>
    <row r="956" spans="4:6">
      <c r="D956" s="73">
        <v>42772</v>
      </c>
      <c r="E956" s="74">
        <v>-13940939.109999999</v>
      </c>
      <c r="F956" s="76"/>
    </row>
    <row r="957" spans="4:6">
      <c r="D957" s="73">
        <v>42772</v>
      </c>
      <c r="E957" s="74">
        <v>14.28</v>
      </c>
      <c r="F957" s="76"/>
    </row>
    <row r="958" spans="4:6">
      <c r="D958" s="73">
        <v>42772</v>
      </c>
      <c r="E958" s="74">
        <v>22286.16</v>
      </c>
      <c r="F958" s="76"/>
    </row>
    <row r="959" spans="4:6">
      <c r="D959" s="73">
        <v>42772</v>
      </c>
      <c r="E959" s="74">
        <v>-261221.56</v>
      </c>
      <c r="F959" s="76"/>
    </row>
    <row r="960" spans="4:6">
      <c r="D960" s="73">
        <v>42772</v>
      </c>
      <c r="E960" s="74">
        <v>-31762.12</v>
      </c>
      <c r="F960" s="76"/>
    </row>
    <row r="961" spans="4:6">
      <c r="D961" s="73">
        <v>42772</v>
      </c>
      <c r="E961" s="74">
        <v>-2708458.68</v>
      </c>
      <c r="F961" s="76"/>
    </row>
    <row r="962" spans="4:6">
      <c r="D962" s="73">
        <v>42772</v>
      </c>
      <c r="E962" s="74">
        <v>10975852.470000001</v>
      </c>
      <c r="F962" s="76"/>
    </row>
    <row r="963" spans="4:6">
      <c r="D963" s="73">
        <v>42774</v>
      </c>
      <c r="E963" s="74">
        <v>-761.98</v>
      </c>
      <c r="F963" s="76"/>
    </row>
    <row r="964" spans="4:6">
      <c r="D964" s="73">
        <v>42774</v>
      </c>
      <c r="E964" s="74">
        <v>6586.5</v>
      </c>
      <c r="F964" s="76"/>
    </row>
    <row r="965" spans="4:6">
      <c r="D965" s="73">
        <v>42774</v>
      </c>
      <c r="E965" s="74">
        <v>-38894.26</v>
      </c>
      <c r="F965" s="76"/>
    </row>
    <row r="966" spans="4:6">
      <c r="D966" s="73">
        <v>42775</v>
      </c>
      <c r="E966" s="74">
        <v>756.17</v>
      </c>
      <c r="F966" s="76"/>
    </row>
    <row r="967" spans="4:6">
      <c r="D967" s="73">
        <v>42775</v>
      </c>
      <c r="E967" s="74">
        <v>-11254.69</v>
      </c>
      <c r="F967" s="76"/>
    </row>
    <row r="968" spans="4:6">
      <c r="D968" s="73">
        <v>42775</v>
      </c>
      <c r="E968" s="74">
        <v>-93837.27</v>
      </c>
      <c r="F968" s="76"/>
    </row>
    <row r="969" spans="4:6">
      <c r="D969" s="73">
        <v>42775</v>
      </c>
      <c r="E969" s="74">
        <v>-34971.21</v>
      </c>
      <c r="F969" s="76"/>
    </row>
    <row r="970" spans="4:6">
      <c r="D970" s="73">
        <v>42775</v>
      </c>
      <c r="E970" s="74">
        <v>178847.8</v>
      </c>
      <c r="F970" s="76"/>
    </row>
    <row r="971" spans="4:6">
      <c r="D971" s="73">
        <v>42776</v>
      </c>
      <c r="E971" s="74">
        <v>28426.3</v>
      </c>
      <c r="F971" s="76"/>
    </row>
    <row r="972" spans="4:6">
      <c r="D972" s="73">
        <v>42776</v>
      </c>
      <c r="E972" s="74">
        <v>1480.8</v>
      </c>
      <c r="F972" s="76"/>
    </row>
    <row r="973" spans="4:6">
      <c r="D973" s="73">
        <v>42776</v>
      </c>
      <c r="E973" s="74">
        <v>25022.48</v>
      </c>
      <c r="F973" s="76"/>
    </row>
    <row r="974" spans="4:6">
      <c r="D974" s="73">
        <v>42776</v>
      </c>
      <c r="E974" s="74">
        <v>-312426.21000000002</v>
      </c>
      <c r="F974" s="76"/>
    </row>
    <row r="975" spans="4:6">
      <c r="D975" s="73">
        <v>42779</v>
      </c>
      <c r="E975" s="74">
        <v>-168446.82</v>
      </c>
      <c r="F975" s="76"/>
    </row>
    <row r="976" spans="4:6">
      <c r="D976" s="73">
        <v>42779</v>
      </c>
      <c r="E976" s="74">
        <v>-6200.65</v>
      </c>
      <c r="F976" s="76"/>
    </row>
    <row r="977" spans="4:6">
      <c r="D977" s="73">
        <v>42779</v>
      </c>
      <c r="E977" s="74">
        <v>-1647.46</v>
      </c>
      <c r="F977" s="76"/>
    </row>
    <row r="978" spans="4:6">
      <c r="D978" s="73">
        <v>42780</v>
      </c>
      <c r="E978" s="74">
        <v>-38868.22</v>
      </c>
      <c r="F978" s="76"/>
    </row>
    <row r="979" spans="4:6">
      <c r="D979" s="73">
        <v>42780</v>
      </c>
      <c r="E979" s="74">
        <v>15215.02</v>
      </c>
      <c r="F979" s="76"/>
    </row>
    <row r="980" spans="4:6">
      <c r="D980" s="73">
        <v>42780</v>
      </c>
      <c r="E980" s="74">
        <v>-4408.3100000000004</v>
      </c>
      <c r="F980" s="76"/>
    </row>
    <row r="981" spans="4:6">
      <c r="D981" s="73">
        <v>42781</v>
      </c>
      <c r="E981" s="74">
        <v>-30090.46</v>
      </c>
      <c r="F981" s="76"/>
    </row>
    <row r="982" spans="4:6">
      <c r="D982" s="73">
        <v>42781</v>
      </c>
      <c r="E982" s="74">
        <v>-91021.58</v>
      </c>
      <c r="F982" s="76"/>
    </row>
    <row r="983" spans="4:6">
      <c r="D983" s="73">
        <v>42781</v>
      </c>
      <c r="E983" s="74">
        <v>14682.55</v>
      </c>
      <c r="F983" s="76"/>
    </row>
    <row r="984" spans="4:6">
      <c r="D984" s="73">
        <v>42781</v>
      </c>
      <c r="E984" s="74">
        <v>140415.51999999999</v>
      </c>
      <c r="F984" s="76"/>
    </row>
    <row r="985" spans="4:6">
      <c r="D985" s="73">
        <v>42781</v>
      </c>
      <c r="E985" s="74">
        <v>-3927.71</v>
      </c>
      <c r="F985" s="76"/>
    </row>
    <row r="986" spans="4:6">
      <c r="D986" s="73">
        <v>42782</v>
      </c>
      <c r="E986" s="74">
        <v>-148750.03</v>
      </c>
      <c r="F986" s="76"/>
    </row>
    <row r="987" spans="4:6">
      <c r="D987" s="73">
        <v>42782</v>
      </c>
      <c r="E987" s="74">
        <v>-57218.82</v>
      </c>
      <c r="F987" s="76"/>
    </row>
    <row r="988" spans="4:6">
      <c r="D988" s="73">
        <v>42782</v>
      </c>
      <c r="E988" s="74">
        <v>11969.3</v>
      </c>
      <c r="F988" s="76"/>
    </row>
    <row r="989" spans="4:6">
      <c r="D989" s="73">
        <v>42782</v>
      </c>
      <c r="E989" s="74">
        <v>21743.53</v>
      </c>
      <c r="F989" s="76"/>
    </row>
    <row r="990" spans="4:6">
      <c r="D990" s="73">
        <v>42783</v>
      </c>
      <c r="E990" s="74">
        <v>347.36</v>
      </c>
      <c r="F990" s="76"/>
    </row>
    <row r="991" spans="4:6">
      <c r="D991" s="73">
        <v>42783</v>
      </c>
      <c r="E991" s="74">
        <v>60.3</v>
      </c>
      <c r="F991" s="76"/>
    </row>
    <row r="992" spans="4:6">
      <c r="D992" s="73">
        <v>42783</v>
      </c>
      <c r="E992" s="74">
        <v>74982.61</v>
      </c>
      <c r="F992" s="76"/>
    </row>
    <row r="993" spans="4:6">
      <c r="D993" s="73">
        <v>42783</v>
      </c>
      <c r="E993" s="74">
        <v>-468698.14</v>
      </c>
      <c r="F993" s="76"/>
    </row>
    <row r="994" spans="4:6">
      <c r="D994" s="73">
        <v>42783</v>
      </c>
      <c r="E994" s="74">
        <v>-27133.200000000001</v>
      </c>
      <c r="F994" s="76"/>
    </row>
    <row r="995" spans="4:6">
      <c r="D995" s="73">
        <v>42786</v>
      </c>
      <c r="E995" s="74">
        <v>-12130.07</v>
      </c>
      <c r="F995" s="76"/>
    </row>
    <row r="996" spans="4:6">
      <c r="D996" s="73">
        <v>42786</v>
      </c>
      <c r="E996" s="74">
        <v>-25624.77</v>
      </c>
      <c r="F996" s="76"/>
    </row>
    <row r="997" spans="4:6">
      <c r="D997" s="73">
        <v>42787</v>
      </c>
      <c r="E997" s="74">
        <v>1507.4</v>
      </c>
      <c r="F997" s="76"/>
    </row>
    <row r="998" spans="4:6">
      <c r="D998" s="73">
        <v>42787</v>
      </c>
      <c r="E998" s="74">
        <v>6116.31</v>
      </c>
      <c r="F998" s="76"/>
    </row>
    <row r="999" spans="4:6">
      <c r="D999" s="73">
        <v>42787</v>
      </c>
      <c r="E999" s="74">
        <v>-1122.4000000000001</v>
      </c>
      <c r="F999" s="76"/>
    </row>
    <row r="1000" spans="4:6">
      <c r="D1000" s="73">
        <v>42787</v>
      </c>
      <c r="E1000" s="74">
        <v>-30502.28</v>
      </c>
      <c r="F1000" s="76"/>
    </row>
    <row r="1001" spans="4:6">
      <c r="D1001" s="73">
        <v>42787</v>
      </c>
      <c r="E1001" s="74">
        <v>-41867.49</v>
      </c>
      <c r="F1001" s="76"/>
    </row>
    <row r="1002" spans="4:6">
      <c r="D1002" s="73">
        <v>42788</v>
      </c>
      <c r="E1002" s="74">
        <v>-227452.42</v>
      </c>
      <c r="F1002" s="76"/>
    </row>
    <row r="1003" spans="4:6">
      <c r="D1003" s="73">
        <v>42788</v>
      </c>
      <c r="E1003" s="74">
        <v>124160.36</v>
      </c>
      <c r="F1003" s="76"/>
    </row>
    <row r="1004" spans="4:6">
      <c r="D1004" s="73">
        <v>42788</v>
      </c>
      <c r="E1004" s="74">
        <v>-140567.57</v>
      </c>
      <c r="F1004" s="76"/>
    </row>
    <row r="1005" spans="4:6">
      <c r="D1005" s="73">
        <v>42789</v>
      </c>
      <c r="E1005" s="74">
        <v>-52648.46</v>
      </c>
      <c r="F1005" s="76"/>
    </row>
    <row r="1006" spans="4:6">
      <c r="D1006" s="73">
        <v>42789</v>
      </c>
      <c r="E1006" s="74">
        <v>127451.25</v>
      </c>
      <c r="F1006" s="76"/>
    </row>
    <row r="1007" spans="4:6">
      <c r="D1007" s="73">
        <v>42789</v>
      </c>
      <c r="E1007" s="74">
        <v>-1551.66</v>
      </c>
      <c r="F1007" s="76"/>
    </row>
    <row r="1008" spans="4:6">
      <c r="D1008" s="73">
        <v>42789</v>
      </c>
      <c r="E1008" s="74">
        <v>417954.11</v>
      </c>
      <c r="F1008" s="76"/>
    </row>
    <row r="1009" spans="4:6">
      <c r="D1009" s="73">
        <v>42790</v>
      </c>
      <c r="E1009" s="74">
        <v>-370119.57</v>
      </c>
      <c r="F1009" s="76"/>
    </row>
    <row r="1010" spans="4:6">
      <c r="D1010" s="73">
        <v>42790</v>
      </c>
      <c r="E1010" s="74">
        <v>963.08</v>
      </c>
      <c r="F1010" s="76"/>
    </row>
    <row r="1011" spans="4:6">
      <c r="D1011" s="73">
        <v>42790</v>
      </c>
      <c r="E1011" s="74">
        <v>3129300</v>
      </c>
      <c r="F1011" s="76"/>
    </row>
    <row r="1012" spans="4:6">
      <c r="D1012" s="73">
        <v>42790</v>
      </c>
      <c r="E1012" s="74">
        <v>-9378.43</v>
      </c>
      <c r="F1012" s="76"/>
    </row>
    <row r="1013" spans="4:6">
      <c r="D1013" s="73">
        <v>42790</v>
      </c>
      <c r="E1013" s="74">
        <v>-3132142.87</v>
      </c>
      <c r="F1013" s="76"/>
    </row>
    <row r="1014" spans="4:6">
      <c r="D1014" s="73">
        <v>42793</v>
      </c>
      <c r="E1014" s="74">
        <v>-14186.93</v>
      </c>
      <c r="F1014" s="76"/>
    </row>
    <row r="1015" spans="4:6">
      <c r="D1015" s="73">
        <v>42793</v>
      </c>
      <c r="E1015" s="74">
        <v>25163.94</v>
      </c>
      <c r="F1015" s="76"/>
    </row>
    <row r="1016" spans="4:6">
      <c r="D1016" s="73">
        <v>42793</v>
      </c>
      <c r="E1016" s="74">
        <v>-31091.7</v>
      </c>
      <c r="F1016" s="76"/>
    </row>
    <row r="1017" spans="4:6">
      <c r="D1017" s="73">
        <v>42794</v>
      </c>
      <c r="E1017" s="74">
        <v>380133.5</v>
      </c>
      <c r="F1017" s="76"/>
    </row>
    <row r="1018" spans="4:6">
      <c r="D1018" s="73">
        <v>42794</v>
      </c>
      <c r="E1018" s="74">
        <v>-41829.160000000003</v>
      </c>
      <c r="F1018" s="76"/>
    </row>
    <row r="1019" spans="4:6">
      <c r="D1019" s="73">
        <v>42794</v>
      </c>
      <c r="E1019" s="74">
        <v>-64828.6</v>
      </c>
      <c r="F1019" s="76"/>
    </row>
    <row r="1020" spans="4:6">
      <c r="D1020" s="73">
        <v>42794</v>
      </c>
      <c r="E1020" s="74">
        <v>3546.72</v>
      </c>
      <c r="F1020" s="76"/>
    </row>
    <row r="1021" spans="4:6">
      <c r="D1021" s="73">
        <v>42794</v>
      </c>
      <c r="E1021" s="74">
        <v>2442.1999999999998</v>
      </c>
      <c r="F1021" s="76"/>
    </row>
    <row r="1022" spans="4:6">
      <c r="D1022" s="73">
        <v>42794</v>
      </c>
      <c r="E1022" s="74">
        <v>-19116.98</v>
      </c>
      <c r="F1022" s="76"/>
    </row>
    <row r="1023" spans="4:6">
      <c r="D1023" s="73">
        <v>42794</v>
      </c>
      <c r="E1023" s="74">
        <v>-60306.46</v>
      </c>
      <c r="F1023" s="76"/>
    </row>
    <row r="1024" spans="4:6">
      <c r="D1024" s="73">
        <v>42796</v>
      </c>
      <c r="E1024" s="74">
        <v>1910.41</v>
      </c>
      <c r="F1024" s="76"/>
    </row>
    <row r="1025" spans="4:6">
      <c r="D1025" s="73">
        <v>42796</v>
      </c>
      <c r="E1025" s="74">
        <v>-319073.89</v>
      </c>
      <c r="F1025" s="76"/>
    </row>
    <row r="1026" spans="4:6">
      <c r="D1026" s="73">
        <v>42796</v>
      </c>
      <c r="E1026" s="74">
        <v>-6879.81</v>
      </c>
      <c r="F1026" s="76"/>
    </row>
    <row r="1027" spans="4:6">
      <c r="D1027" s="73">
        <v>42796</v>
      </c>
      <c r="E1027" s="74">
        <v>1587.01</v>
      </c>
      <c r="F1027" s="76"/>
    </row>
    <row r="1028" spans="4:6">
      <c r="D1028" s="73">
        <v>42797</v>
      </c>
      <c r="E1028" s="74">
        <v>-591090.17000000004</v>
      </c>
      <c r="F1028" s="76"/>
    </row>
    <row r="1029" spans="4:6">
      <c r="D1029" s="73">
        <v>42797</v>
      </c>
      <c r="E1029" s="74">
        <v>-799750.18</v>
      </c>
      <c r="F1029" s="76"/>
    </row>
    <row r="1030" spans="4:6">
      <c r="D1030" s="73">
        <v>42797</v>
      </c>
      <c r="E1030" s="74">
        <v>93433.99</v>
      </c>
      <c r="F1030" s="76"/>
    </row>
    <row r="1031" spans="4:6">
      <c r="D1031" s="73">
        <v>42797</v>
      </c>
      <c r="E1031" s="74">
        <v>-1341.84</v>
      </c>
      <c r="F1031" s="76"/>
    </row>
    <row r="1032" spans="4:6">
      <c r="D1032" s="73">
        <v>42800</v>
      </c>
      <c r="E1032" s="74">
        <v>97118.8</v>
      </c>
      <c r="F1032" s="76"/>
    </row>
    <row r="1033" spans="4:6">
      <c r="D1033" s="73">
        <v>42800</v>
      </c>
      <c r="E1033" s="74">
        <v>-350796.33</v>
      </c>
      <c r="F1033" s="76"/>
    </row>
    <row r="1034" spans="4:6">
      <c r="D1034" s="73">
        <v>42800</v>
      </c>
      <c r="E1034" s="74">
        <v>-5561.66</v>
      </c>
      <c r="F1034" s="76"/>
    </row>
    <row r="1035" spans="4:6">
      <c r="D1035" s="73">
        <v>42801</v>
      </c>
      <c r="E1035" s="74">
        <v>39251.660000000003</v>
      </c>
      <c r="F1035" s="76"/>
    </row>
    <row r="1036" spans="4:6">
      <c r="D1036" s="73">
        <v>42801</v>
      </c>
      <c r="E1036" s="74">
        <v>4054.74</v>
      </c>
      <c r="F1036" s="76"/>
    </row>
    <row r="1037" spans="4:6">
      <c r="D1037" s="73">
        <v>42801</v>
      </c>
      <c r="E1037" s="74">
        <v>-7421.53</v>
      </c>
      <c r="F1037" s="76"/>
    </row>
    <row r="1038" spans="4:6">
      <c r="D1038" s="73">
        <v>42801</v>
      </c>
      <c r="E1038" s="74">
        <v>-39581.51</v>
      </c>
      <c r="F1038" s="76"/>
    </row>
    <row r="1039" spans="4:6">
      <c r="D1039" s="73">
        <v>42801</v>
      </c>
      <c r="E1039" s="74">
        <v>-67189.98</v>
      </c>
      <c r="F1039" s="76"/>
    </row>
    <row r="1040" spans="4:6">
      <c r="D1040" s="73">
        <v>42802</v>
      </c>
      <c r="E1040" s="74">
        <v>288070.24</v>
      </c>
      <c r="F1040" s="76"/>
    </row>
    <row r="1041" spans="4:6">
      <c r="D1041" s="73">
        <v>42802</v>
      </c>
      <c r="E1041" s="74">
        <v>-51521.25</v>
      </c>
      <c r="F1041" s="76"/>
    </row>
    <row r="1042" spans="4:6">
      <c r="D1042" s="73">
        <v>42802</v>
      </c>
      <c r="E1042" s="74">
        <v>-78632.39</v>
      </c>
      <c r="F1042" s="76"/>
    </row>
    <row r="1043" spans="4:6">
      <c r="D1043" s="73">
        <v>42802</v>
      </c>
      <c r="E1043" s="74">
        <v>-247147.48</v>
      </c>
      <c r="F1043" s="76"/>
    </row>
    <row r="1044" spans="4:6">
      <c r="D1044" s="73">
        <v>42802</v>
      </c>
      <c r="E1044" s="74">
        <v>3489526.67</v>
      </c>
      <c r="F1044" s="76"/>
    </row>
    <row r="1045" spans="4:6">
      <c r="D1045" s="73">
        <v>42802</v>
      </c>
      <c r="E1045" s="74">
        <v>-6660.5</v>
      </c>
      <c r="F1045" s="76"/>
    </row>
    <row r="1046" spans="4:6">
      <c r="D1046" s="73">
        <v>42802</v>
      </c>
      <c r="E1046" s="74">
        <v>-1142.01</v>
      </c>
      <c r="F1046" s="76"/>
    </row>
    <row r="1047" spans="4:6">
      <c r="D1047" s="73">
        <v>42802</v>
      </c>
      <c r="E1047" s="74">
        <v>100324.64</v>
      </c>
      <c r="F1047" s="76"/>
    </row>
    <row r="1048" spans="4:6">
      <c r="D1048" s="73">
        <v>42804</v>
      </c>
      <c r="E1048" s="74">
        <v>-84009.49</v>
      </c>
      <c r="F1048" s="76"/>
    </row>
    <row r="1049" spans="4:6">
      <c r="D1049" s="73">
        <v>42804</v>
      </c>
      <c r="E1049" s="74">
        <v>-44759</v>
      </c>
      <c r="F1049" s="76"/>
    </row>
    <row r="1050" spans="4:6">
      <c r="D1050" s="73">
        <v>42804</v>
      </c>
      <c r="E1050" s="74">
        <v>5016.16</v>
      </c>
      <c r="F1050" s="76"/>
    </row>
    <row r="1051" spans="4:6">
      <c r="D1051" s="73">
        <v>42804</v>
      </c>
      <c r="E1051" s="74">
        <v>-137181.78</v>
      </c>
      <c r="F1051" s="76"/>
    </row>
    <row r="1052" spans="4:6">
      <c r="D1052" s="73">
        <v>42804</v>
      </c>
      <c r="E1052" s="74">
        <v>4085410.6</v>
      </c>
      <c r="F1052" s="76"/>
    </row>
    <row r="1053" spans="4:6">
      <c r="D1053" s="73">
        <v>42804</v>
      </c>
      <c r="E1053" s="74">
        <v>-17595.150000000001</v>
      </c>
      <c r="F1053" s="76"/>
    </row>
    <row r="1054" spans="4:6">
      <c r="D1054" s="73">
        <v>42804</v>
      </c>
      <c r="E1054" s="74">
        <v>-180614.59</v>
      </c>
      <c r="F1054" s="76"/>
    </row>
    <row r="1055" spans="4:6">
      <c r="D1055" s="73">
        <v>42804</v>
      </c>
      <c r="E1055" s="74">
        <v>23712.36</v>
      </c>
      <c r="F1055" s="76"/>
    </row>
    <row r="1056" spans="4:6">
      <c r="D1056" s="73">
        <v>42808</v>
      </c>
      <c r="E1056" s="74">
        <v>-1765.61</v>
      </c>
      <c r="F1056" s="76"/>
    </row>
    <row r="1057" spans="4:6">
      <c r="D1057" s="73">
        <v>42808</v>
      </c>
      <c r="E1057" s="74">
        <v>25301.85</v>
      </c>
      <c r="F1057" s="76"/>
    </row>
    <row r="1058" spans="4:6">
      <c r="D1058" s="73">
        <v>42808</v>
      </c>
      <c r="E1058" s="74">
        <v>-82871.28</v>
      </c>
      <c r="F1058" s="76"/>
    </row>
    <row r="1059" spans="4:6">
      <c r="D1059" s="73">
        <v>42808</v>
      </c>
      <c r="E1059" s="74">
        <v>168712.46</v>
      </c>
      <c r="F1059" s="76"/>
    </row>
    <row r="1060" spans="4:6">
      <c r="D1060" s="73">
        <v>42808</v>
      </c>
      <c r="E1060" s="74">
        <v>-900.99</v>
      </c>
      <c r="F1060" s="76"/>
    </row>
    <row r="1061" spans="4:6">
      <c r="D1061" s="73">
        <v>42808</v>
      </c>
      <c r="E1061" s="74">
        <v>10955.63</v>
      </c>
      <c r="F1061" s="76"/>
    </row>
    <row r="1062" spans="4:6">
      <c r="D1062" s="73">
        <v>42808</v>
      </c>
      <c r="E1062" s="74">
        <v>-2207.63</v>
      </c>
      <c r="F1062" s="76"/>
    </row>
    <row r="1063" spans="4:6">
      <c r="D1063" s="73">
        <v>42808</v>
      </c>
      <c r="E1063" s="74">
        <v>6884308.0599999996</v>
      </c>
      <c r="F1063" s="76"/>
    </row>
    <row r="1064" spans="4:6">
      <c r="D1064" s="73">
        <v>42808</v>
      </c>
      <c r="E1064" s="74">
        <v>-3428.71</v>
      </c>
      <c r="F1064" s="76"/>
    </row>
    <row r="1065" spans="4:6">
      <c r="D1065" s="73">
        <v>42808</v>
      </c>
      <c r="E1065" s="74">
        <v>-9004942.9600000009</v>
      </c>
      <c r="F1065" s="76"/>
    </row>
    <row r="1066" spans="4:6">
      <c r="D1066" s="73">
        <v>42808</v>
      </c>
      <c r="E1066" s="74">
        <v>-168794.49</v>
      </c>
      <c r="F1066" s="76"/>
    </row>
    <row r="1067" spans="4:6">
      <c r="D1067" s="73">
        <v>42810</v>
      </c>
      <c r="E1067" s="74">
        <v>366089.66</v>
      </c>
      <c r="F1067" s="76"/>
    </row>
    <row r="1068" spans="4:6">
      <c r="D1068" s="73">
        <v>42810</v>
      </c>
      <c r="E1068" s="74">
        <v>-82317.3</v>
      </c>
      <c r="F1068" s="76"/>
    </row>
    <row r="1069" spans="4:6">
      <c r="D1069" s="73">
        <v>42810</v>
      </c>
      <c r="E1069" s="74">
        <v>-27544.71</v>
      </c>
      <c r="F1069" s="76"/>
    </row>
    <row r="1070" spans="4:6">
      <c r="D1070" s="73">
        <v>42811</v>
      </c>
      <c r="E1070" s="74">
        <v>-82931.47</v>
      </c>
      <c r="F1070" s="76"/>
    </row>
    <row r="1071" spans="4:6">
      <c r="D1071" s="73">
        <v>42811</v>
      </c>
      <c r="E1071" s="74">
        <v>639875.13</v>
      </c>
      <c r="F1071" s="76"/>
    </row>
    <row r="1072" spans="4:6">
      <c r="D1072" s="73">
        <v>42811</v>
      </c>
      <c r="E1072" s="74">
        <v>-516.6</v>
      </c>
      <c r="F1072" s="76"/>
    </row>
    <row r="1073" spans="4:6">
      <c r="D1073" s="73">
        <v>42811</v>
      </c>
      <c r="E1073" s="74">
        <v>2180950.4300000002</v>
      </c>
      <c r="F1073" s="76"/>
    </row>
    <row r="1074" spans="4:6">
      <c r="D1074" s="73">
        <v>42814</v>
      </c>
      <c r="E1074" s="74">
        <v>1259868.3500000001</v>
      </c>
      <c r="F1074" s="76"/>
    </row>
    <row r="1075" spans="4:6">
      <c r="D1075" s="73">
        <v>42814</v>
      </c>
      <c r="E1075" s="74">
        <v>68.88</v>
      </c>
      <c r="F1075" s="76"/>
    </row>
    <row r="1076" spans="4:6">
      <c r="D1076" s="73">
        <v>42814</v>
      </c>
      <c r="E1076" s="74">
        <v>-30658.720000000001</v>
      </c>
      <c r="F1076" s="76"/>
    </row>
    <row r="1077" spans="4:6">
      <c r="D1077" s="73">
        <v>42814</v>
      </c>
      <c r="E1077" s="74">
        <v>26775.25</v>
      </c>
      <c r="F1077" s="76"/>
    </row>
    <row r="1078" spans="4:6">
      <c r="D1078" s="73">
        <v>42815</v>
      </c>
      <c r="E1078" s="74">
        <v>297643.94</v>
      </c>
      <c r="F1078" s="76"/>
    </row>
    <row r="1079" spans="4:6">
      <c r="D1079" s="73">
        <v>42815</v>
      </c>
      <c r="E1079" s="74">
        <v>-173865.05</v>
      </c>
      <c r="F1079" s="76"/>
    </row>
    <row r="1080" spans="4:6">
      <c r="D1080" s="73">
        <v>42815</v>
      </c>
      <c r="E1080" s="74">
        <v>28908.99</v>
      </c>
      <c r="F1080" s="76"/>
    </row>
    <row r="1081" spans="4:6">
      <c r="D1081" s="73">
        <v>42815</v>
      </c>
      <c r="E1081" s="74">
        <v>-125949.06</v>
      </c>
      <c r="F1081" s="76"/>
    </row>
    <row r="1082" spans="4:6">
      <c r="D1082" s="73">
        <v>42816</v>
      </c>
      <c r="E1082" s="74">
        <v>18763029.780000001</v>
      </c>
      <c r="F1082" s="76"/>
    </row>
    <row r="1083" spans="4:6">
      <c r="D1083" s="73">
        <v>42816</v>
      </c>
      <c r="E1083" s="74">
        <v>-436737.93</v>
      </c>
      <c r="F1083" s="76"/>
    </row>
    <row r="1084" spans="4:6">
      <c r="D1084" s="73">
        <v>42816</v>
      </c>
      <c r="E1084" s="74">
        <v>-33100.89</v>
      </c>
      <c r="F1084" s="76"/>
    </row>
    <row r="1085" spans="4:6">
      <c r="D1085" s="73">
        <v>42816</v>
      </c>
      <c r="E1085" s="74">
        <v>-58161.65</v>
      </c>
      <c r="F1085" s="76"/>
    </row>
    <row r="1086" spans="4:6">
      <c r="D1086" s="73">
        <v>42816</v>
      </c>
      <c r="E1086" s="74">
        <v>-673628.99</v>
      </c>
      <c r="F1086" s="76"/>
    </row>
    <row r="1087" spans="4:6">
      <c r="D1087" s="73">
        <v>42816</v>
      </c>
      <c r="E1087" s="74">
        <v>-275681.78000000003</v>
      </c>
      <c r="F1087" s="76"/>
    </row>
    <row r="1088" spans="4:6">
      <c r="D1088" s="73">
        <v>42816</v>
      </c>
      <c r="E1088" s="74">
        <v>305783.96999999997</v>
      </c>
      <c r="F1088" s="76"/>
    </row>
    <row r="1089" spans="4:6">
      <c r="D1089" s="73">
        <v>42821</v>
      </c>
      <c r="E1089" s="74">
        <v>-164004.13</v>
      </c>
      <c r="F1089" s="76"/>
    </row>
    <row r="1090" spans="4:6">
      <c r="D1090" s="73">
        <v>42821</v>
      </c>
      <c r="E1090" s="74">
        <v>92310.98</v>
      </c>
      <c r="F1090" s="76"/>
    </row>
    <row r="1091" spans="4:6">
      <c r="D1091" s="73">
        <v>42822</v>
      </c>
      <c r="E1091" s="74">
        <v>138900.54</v>
      </c>
      <c r="F1091" s="76"/>
    </row>
    <row r="1092" spans="4:6">
      <c r="D1092" s="73">
        <v>42822</v>
      </c>
      <c r="E1092" s="74">
        <v>-317.23</v>
      </c>
      <c r="F1092" s="76"/>
    </row>
    <row r="1093" spans="4:6">
      <c r="D1093" s="73">
        <v>42822</v>
      </c>
      <c r="E1093" s="74">
        <v>-2036971.55</v>
      </c>
      <c r="F1093" s="76"/>
    </row>
    <row r="1094" spans="4:6">
      <c r="D1094" s="73">
        <v>42823</v>
      </c>
      <c r="E1094" s="74">
        <v>1048695.1399999999</v>
      </c>
      <c r="F1094" s="76"/>
    </row>
    <row r="1095" spans="4:6">
      <c r="D1095" s="73">
        <v>42823</v>
      </c>
      <c r="E1095" s="74">
        <v>7049.45</v>
      </c>
      <c r="F1095" s="76"/>
    </row>
    <row r="1096" spans="4:6">
      <c r="D1096" s="73">
        <v>42823</v>
      </c>
      <c r="E1096" s="74">
        <v>-2316.36</v>
      </c>
      <c r="F1096" s="76"/>
    </row>
    <row r="1097" spans="4:6">
      <c r="D1097" s="73">
        <v>42823</v>
      </c>
      <c r="E1097" s="74">
        <v>-616443.99</v>
      </c>
      <c r="F1097" s="76"/>
    </row>
    <row r="1098" spans="4:6">
      <c r="D1098" s="73">
        <v>42823</v>
      </c>
      <c r="E1098" s="74">
        <v>1781.81</v>
      </c>
      <c r="F1098" s="76"/>
    </row>
    <row r="1099" spans="4:6">
      <c r="D1099" s="73">
        <v>42823</v>
      </c>
      <c r="E1099" s="74">
        <v>-25238.61</v>
      </c>
      <c r="F1099" s="76"/>
    </row>
    <row r="1100" spans="4:6">
      <c r="D1100" s="73">
        <v>42824</v>
      </c>
      <c r="E1100" s="74">
        <v>6381.7</v>
      </c>
      <c r="F1100" s="76"/>
    </row>
    <row r="1101" spans="4:6">
      <c r="D1101" s="73">
        <v>42824</v>
      </c>
      <c r="E1101" s="74">
        <v>-4026.57</v>
      </c>
      <c r="F1101" s="76"/>
    </row>
    <row r="1102" spans="4:6">
      <c r="D1102" s="73">
        <v>42824</v>
      </c>
      <c r="E1102" s="74">
        <v>51592.76</v>
      </c>
      <c r="F1102" s="76"/>
    </row>
    <row r="1103" spans="4:6">
      <c r="D1103" s="73">
        <v>42824</v>
      </c>
      <c r="E1103" s="74">
        <v>-3413309.28</v>
      </c>
      <c r="F1103" s="76"/>
    </row>
    <row r="1104" spans="4:6">
      <c r="D1104" s="73">
        <v>42824</v>
      </c>
      <c r="E1104" s="74">
        <v>114884.88</v>
      </c>
      <c r="F1104" s="76"/>
    </row>
    <row r="1105" spans="4:6">
      <c r="D1105" s="73">
        <v>42824</v>
      </c>
      <c r="E1105" s="74">
        <v>-47748.1</v>
      </c>
      <c r="F1105" s="76"/>
    </row>
    <row r="1106" spans="4:6">
      <c r="D1106" s="73">
        <v>42824</v>
      </c>
      <c r="E1106" s="74">
        <v>1791.57</v>
      </c>
      <c r="F1106" s="76"/>
    </row>
    <row r="1107" spans="4:6">
      <c r="D1107" s="73">
        <v>42824</v>
      </c>
      <c r="E1107" s="74">
        <v>77079.72</v>
      </c>
      <c r="F1107" s="76"/>
    </row>
    <row r="1108" spans="4:6">
      <c r="D1108" s="73">
        <v>42824</v>
      </c>
      <c r="E1108" s="74">
        <v>-288473.55</v>
      </c>
      <c r="F1108" s="76"/>
    </row>
    <row r="1109" spans="4:6">
      <c r="D1109" s="73">
        <v>42825</v>
      </c>
      <c r="E1109" s="74">
        <v>7036.7</v>
      </c>
      <c r="F1109" s="76"/>
    </row>
    <row r="1110" spans="4:6">
      <c r="D1110" s="73">
        <v>42825</v>
      </c>
      <c r="E1110" s="74">
        <v>-13593.39</v>
      </c>
      <c r="F1110" s="76"/>
    </row>
    <row r="1111" spans="4:6">
      <c r="D1111" s="73">
        <v>42825</v>
      </c>
      <c r="E1111" s="74">
        <v>377136.68</v>
      </c>
      <c r="F1111" s="76"/>
    </row>
    <row r="1112" spans="4:6">
      <c r="D1112" s="73">
        <v>42825</v>
      </c>
      <c r="E1112" s="74">
        <v>-88042.86</v>
      </c>
      <c r="F1112" s="76"/>
    </row>
    <row r="1113" spans="4:6">
      <c r="D1113" s="73">
        <v>42825</v>
      </c>
      <c r="E1113" s="74">
        <v>-33364.239999999998</v>
      </c>
      <c r="F1113" s="76"/>
    </row>
    <row r="1114" spans="4:6">
      <c r="D1114" s="73">
        <v>42828</v>
      </c>
      <c r="E1114" s="74">
        <v>20522.259999999998</v>
      </c>
      <c r="F1114" s="76"/>
    </row>
    <row r="1115" spans="4:6">
      <c r="D1115" s="73">
        <v>42828</v>
      </c>
      <c r="E1115" s="74">
        <v>-337859.93</v>
      </c>
      <c r="F1115" s="76"/>
    </row>
    <row r="1116" spans="4:6">
      <c r="D1116" s="73">
        <v>42828</v>
      </c>
      <c r="E1116" s="74">
        <v>-2087511.9</v>
      </c>
      <c r="F1116" s="76"/>
    </row>
    <row r="1117" spans="4:6">
      <c r="D1117" s="73">
        <v>42828</v>
      </c>
      <c r="E1117" s="74">
        <v>130869.6</v>
      </c>
      <c r="F1117" s="76"/>
    </row>
    <row r="1118" spans="4:6">
      <c r="D1118" s="73">
        <v>42829</v>
      </c>
      <c r="E1118" s="74">
        <v>-405.83</v>
      </c>
      <c r="F1118" s="76"/>
    </row>
    <row r="1119" spans="4:6">
      <c r="D1119" s="73">
        <v>42829</v>
      </c>
      <c r="E1119" s="74">
        <v>64105.47</v>
      </c>
      <c r="F1119" s="76"/>
    </row>
    <row r="1120" spans="4:6">
      <c r="D1120" s="73">
        <v>42829</v>
      </c>
      <c r="E1120" s="74">
        <v>90550.93</v>
      </c>
      <c r="F1120" s="76"/>
    </row>
    <row r="1121" spans="4:6">
      <c r="D1121" s="73">
        <v>42829</v>
      </c>
      <c r="E1121" s="74">
        <v>-3705.11</v>
      </c>
      <c r="F1121" s="76"/>
    </row>
    <row r="1122" spans="4:6">
      <c r="D1122" s="73">
        <v>42829</v>
      </c>
      <c r="E1122" s="74">
        <v>-56896.38</v>
      </c>
      <c r="F1122" s="76"/>
    </row>
    <row r="1123" spans="4:6">
      <c r="D1123" s="73">
        <v>42830</v>
      </c>
      <c r="E1123" s="74">
        <v>30427.07</v>
      </c>
      <c r="F1123" s="76"/>
    </row>
    <row r="1124" spans="4:6">
      <c r="D1124" s="73">
        <v>42830</v>
      </c>
      <c r="E1124" s="74">
        <v>-36189.339999999997</v>
      </c>
      <c r="F1124" s="76"/>
    </row>
    <row r="1125" spans="4:6">
      <c r="D1125" s="73">
        <v>42830</v>
      </c>
      <c r="E1125" s="74">
        <v>3737863.59</v>
      </c>
      <c r="F1125" s="76"/>
    </row>
    <row r="1126" spans="4:6">
      <c r="D1126" s="73">
        <v>42830</v>
      </c>
      <c r="E1126" s="74">
        <v>-1141.06</v>
      </c>
      <c r="F1126" s="76"/>
    </row>
    <row r="1127" spans="4:6">
      <c r="D1127" s="73">
        <v>42831</v>
      </c>
      <c r="E1127" s="74">
        <v>-1479.6</v>
      </c>
      <c r="F1127" s="76"/>
    </row>
    <row r="1128" spans="4:6">
      <c r="D1128" s="73">
        <v>42831</v>
      </c>
      <c r="E1128" s="74">
        <v>-373694.89</v>
      </c>
      <c r="F1128" s="76"/>
    </row>
    <row r="1129" spans="4:6">
      <c r="D1129" s="73">
        <v>42831</v>
      </c>
      <c r="E1129" s="74">
        <v>442722.42</v>
      </c>
      <c r="F1129" s="76"/>
    </row>
    <row r="1130" spans="4:6">
      <c r="D1130" s="73">
        <v>42831</v>
      </c>
      <c r="E1130" s="74">
        <v>-3389.82</v>
      </c>
      <c r="F1130" s="76"/>
    </row>
    <row r="1131" spans="4:6">
      <c r="D1131" s="73">
        <v>42831</v>
      </c>
      <c r="E1131" s="74">
        <v>-442722.42</v>
      </c>
      <c r="F1131" s="76"/>
    </row>
    <row r="1132" spans="4:6">
      <c r="D1132" s="73">
        <v>42831</v>
      </c>
      <c r="E1132" s="74">
        <v>209348.89</v>
      </c>
      <c r="F1132" s="76"/>
    </row>
    <row r="1133" spans="4:6">
      <c r="D1133" s="73">
        <v>42831</v>
      </c>
      <c r="E1133" s="74">
        <v>106673.86</v>
      </c>
      <c r="F1133" s="76"/>
    </row>
    <row r="1134" spans="4:6">
      <c r="D1134" s="73">
        <v>42832</v>
      </c>
      <c r="E1134" s="74">
        <v>7450691.2400000002</v>
      </c>
      <c r="F1134" s="76"/>
    </row>
    <row r="1135" spans="4:6">
      <c r="D1135" s="73">
        <v>42832</v>
      </c>
      <c r="E1135" s="74">
        <v>-111967.78</v>
      </c>
      <c r="F1135" s="76"/>
    </row>
    <row r="1136" spans="4:6">
      <c r="D1136" s="73">
        <v>42832</v>
      </c>
      <c r="E1136" s="74">
        <v>-44637.32</v>
      </c>
      <c r="F1136" s="76"/>
    </row>
    <row r="1137" spans="4:6">
      <c r="D1137" s="73">
        <v>42832</v>
      </c>
      <c r="E1137" s="74">
        <v>18367.810000000001</v>
      </c>
      <c r="F1137" s="76"/>
    </row>
    <row r="1138" spans="4:6">
      <c r="D1138" s="73">
        <v>42835</v>
      </c>
      <c r="E1138" s="74">
        <v>-157228.31</v>
      </c>
      <c r="F1138" s="76"/>
    </row>
    <row r="1139" spans="4:6">
      <c r="D1139" s="73">
        <v>42835</v>
      </c>
      <c r="E1139" s="74">
        <v>-558.52</v>
      </c>
      <c r="F1139" s="76"/>
    </row>
    <row r="1140" spans="4:6">
      <c r="D1140" s="73">
        <v>42835</v>
      </c>
      <c r="E1140" s="74">
        <v>-232354.5</v>
      </c>
      <c r="F1140" s="76"/>
    </row>
    <row r="1141" spans="4:6">
      <c r="D1141" s="73">
        <v>42835</v>
      </c>
      <c r="E1141" s="74">
        <v>18605.02</v>
      </c>
      <c r="F1141" s="76"/>
    </row>
    <row r="1142" spans="4:6">
      <c r="D1142" s="73">
        <v>42835</v>
      </c>
      <c r="E1142" s="74">
        <v>38810.550000000003</v>
      </c>
      <c r="F1142" s="76"/>
    </row>
    <row r="1143" spans="4:6">
      <c r="D1143" s="73">
        <v>42836</v>
      </c>
      <c r="E1143" s="74">
        <v>1878.68</v>
      </c>
      <c r="F1143" s="76"/>
    </row>
    <row r="1144" spans="4:6">
      <c r="D1144" s="73">
        <v>42836</v>
      </c>
      <c r="E1144" s="74">
        <v>-3642432.12</v>
      </c>
      <c r="F1144" s="76"/>
    </row>
    <row r="1145" spans="4:6">
      <c r="D1145" s="73">
        <v>42836</v>
      </c>
      <c r="E1145" s="74">
        <v>137266.47</v>
      </c>
      <c r="F1145" s="76"/>
    </row>
    <row r="1146" spans="4:6">
      <c r="D1146" s="73">
        <v>42836</v>
      </c>
      <c r="E1146" s="74">
        <v>1583369.45</v>
      </c>
      <c r="F1146" s="76"/>
    </row>
    <row r="1147" spans="4:6">
      <c r="D1147" s="73">
        <v>42836</v>
      </c>
      <c r="E1147" s="74">
        <v>250.8</v>
      </c>
      <c r="F1147" s="76"/>
    </row>
    <row r="1148" spans="4:6">
      <c r="D1148" s="73">
        <v>42837</v>
      </c>
      <c r="E1148" s="74">
        <v>-780268.21</v>
      </c>
      <c r="F1148" s="76"/>
    </row>
    <row r="1149" spans="4:6">
      <c r="D1149" s="73">
        <v>42837</v>
      </c>
      <c r="E1149" s="74">
        <v>10399.39</v>
      </c>
      <c r="F1149" s="76"/>
    </row>
    <row r="1150" spans="4:6">
      <c r="D1150" s="73">
        <v>42837</v>
      </c>
      <c r="E1150" s="74">
        <v>4952.13</v>
      </c>
      <c r="F1150" s="76"/>
    </row>
    <row r="1151" spans="4:6">
      <c r="D1151" s="73">
        <v>42837</v>
      </c>
      <c r="E1151" s="74">
        <v>-185556</v>
      </c>
      <c r="F1151" s="76"/>
    </row>
    <row r="1152" spans="4:6">
      <c r="D1152" s="73">
        <v>42837</v>
      </c>
      <c r="E1152" s="74">
        <v>1887.61</v>
      </c>
      <c r="F1152" s="76"/>
    </row>
    <row r="1153" spans="4:6">
      <c r="D1153" s="73">
        <v>42837</v>
      </c>
      <c r="E1153" s="74">
        <v>-18742.38</v>
      </c>
      <c r="F1153" s="76"/>
    </row>
    <row r="1154" spans="4:6">
      <c r="D1154" s="73">
        <v>42838</v>
      </c>
      <c r="E1154" s="74">
        <v>207090.94</v>
      </c>
      <c r="F1154" s="76"/>
    </row>
    <row r="1155" spans="4:6">
      <c r="D1155" s="73">
        <v>42838</v>
      </c>
      <c r="E1155" s="74">
        <v>-24611.77</v>
      </c>
      <c r="F1155" s="76"/>
    </row>
    <row r="1156" spans="4:6">
      <c r="D1156" s="73">
        <v>42838</v>
      </c>
      <c r="E1156" s="74">
        <v>-136689.99</v>
      </c>
      <c r="F1156" s="76"/>
    </row>
    <row r="1157" spans="4:6">
      <c r="D1157" s="73">
        <v>42838</v>
      </c>
      <c r="E1157" s="74">
        <v>-3029.14</v>
      </c>
      <c r="F1157" s="76"/>
    </row>
    <row r="1158" spans="4:6">
      <c r="D1158" s="73">
        <v>42838</v>
      </c>
      <c r="E1158" s="74">
        <v>566.28</v>
      </c>
      <c r="F1158" s="76"/>
    </row>
    <row r="1159" spans="4:6">
      <c r="D1159" s="73">
        <v>42839</v>
      </c>
      <c r="E1159" s="74">
        <v>-413545.26</v>
      </c>
      <c r="F1159" s="76"/>
    </row>
    <row r="1160" spans="4:6">
      <c r="D1160" s="73">
        <v>42839</v>
      </c>
      <c r="E1160" s="74">
        <v>217301.99</v>
      </c>
      <c r="F1160" s="76"/>
    </row>
    <row r="1161" spans="4:6">
      <c r="D1161" s="73">
        <v>42839</v>
      </c>
      <c r="E1161" s="74">
        <v>211003.49</v>
      </c>
      <c r="F1161" s="76"/>
    </row>
    <row r="1162" spans="4:6">
      <c r="D1162" s="73">
        <v>42842</v>
      </c>
      <c r="E1162" s="74">
        <v>-3892.19</v>
      </c>
      <c r="F1162" s="76"/>
    </row>
    <row r="1163" spans="4:6">
      <c r="D1163" s="73">
        <v>42842</v>
      </c>
      <c r="E1163" s="74">
        <v>385137.94</v>
      </c>
      <c r="F1163" s="76"/>
    </row>
    <row r="1164" spans="4:6">
      <c r="D1164" s="73">
        <v>42842</v>
      </c>
      <c r="E1164" s="74">
        <v>-133494.93</v>
      </c>
      <c r="F1164" s="76"/>
    </row>
    <row r="1165" spans="4:6">
      <c r="D1165" s="73">
        <v>42842</v>
      </c>
      <c r="E1165" s="74">
        <v>-122672.43</v>
      </c>
      <c r="F1165" s="76"/>
    </row>
    <row r="1166" spans="4:6">
      <c r="D1166" s="73">
        <v>42842</v>
      </c>
      <c r="E1166" s="74">
        <v>3783.01</v>
      </c>
      <c r="F1166" s="76"/>
    </row>
    <row r="1167" spans="4:6">
      <c r="D1167" s="73">
        <v>42843</v>
      </c>
      <c r="E1167" s="74">
        <v>-3689523.05</v>
      </c>
      <c r="F1167" s="76"/>
    </row>
    <row r="1168" spans="4:6">
      <c r="D1168" s="73">
        <v>42843</v>
      </c>
      <c r="E1168" s="74">
        <v>8878.27</v>
      </c>
      <c r="F1168" s="76"/>
    </row>
    <row r="1169" spans="4:6">
      <c r="D1169" s="73">
        <v>42843</v>
      </c>
      <c r="E1169" s="74">
        <v>77.2</v>
      </c>
      <c r="F1169" s="76"/>
    </row>
    <row r="1170" spans="4:6">
      <c r="D1170" s="73">
        <v>42843</v>
      </c>
      <c r="E1170" s="74">
        <v>-203684.99</v>
      </c>
      <c r="F1170" s="76"/>
    </row>
    <row r="1171" spans="4:6">
      <c r="D1171" s="73">
        <v>42843</v>
      </c>
      <c r="E1171" s="74">
        <v>-26557.279999999999</v>
      </c>
      <c r="F1171" s="76"/>
    </row>
    <row r="1172" spans="4:6">
      <c r="D1172" s="73">
        <v>42843</v>
      </c>
      <c r="E1172" s="74">
        <v>272346.15999999997</v>
      </c>
      <c r="F1172" s="76"/>
    </row>
    <row r="1173" spans="4:6">
      <c r="D1173" s="73">
        <v>42843</v>
      </c>
      <c r="E1173" s="74">
        <v>2558031.52</v>
      </c>
      <c r="F1173" s="76"/>
    </row>
    <row r="1174" spans="4:6">
      <c r="D1174" s="73">
        <v>42844</v>
      </c>
      <c r="E1174" s="74">
        <v>-5261588.21</v>
      </c>
      <c r="F1174" s="76"/>
    </row>
    <row r="1175" spans="4:6">
      <c r="D1175" s="73">
        <v>42844</v>
      </c>
      <c r="E1175" s="74">
        <v>246802.65</v>
      </c>
      <c r="F1175" s="76"/>
    </row>
    <row r="1176" spans="4:6">
      <c r="D1176" s="73">
        <v>42844</v>
      </c>
      <c r="E1176" s="74">
        <v>-262952.40999999997</v>
      </c>
      <c r="F1176" s="76"/>
    </row>
    <row r="1177" spans="4:6">
      <c r="D1177" s="73">
        <v>42844</v>
      </c>
      <c r="E1177" s="74">
        <v>46321.4</v>
      </c>
      <c r="F1177" s="76"/>
    </row>
    <row r="1178" spans="4:6">
      <c r="D1178" s="73">
        <v>42845</v>
      </c>
      <c r="E1178" s="74">
        <v>-141094.44</v>
      </c>
      <c r="F1178" s="76"/>
    </row>
    <row r="1179" spans="4:6">
      <c r="D1179" s="73">
        <v>42845</v>
      </c>
      <c r="E1179" s="74">
        <v>503517.65</v>
      </c>
      <c r="F1179" s="76"/>
    </row>
    <row r="1180" spans="4:6">
      <c r="D1180" s="73">
        <v>42845</v>
      </c>
      <c r="E1180" s="74">
        <v>-175393.64</v>
      </c>
      <c r="F1180" s="76"/>
    </row>
    <row r="1181" spans="4:6">
      <c r="D1181" s="73">
        <v>42845</v>
      </c>
      <c r="E1181" s="74">
        <v>170249.47</v>
      </c>
      <c r="F1181" s="76"/>
    </row>
    <row r="1182" spans="4:6">
      <c r="D1182" s="73">
        <v>42846</v>
      </c>
      <c r="E1182" s="74">
        <v>-5529244.6799999997</v>
      </c>
      <c r="F1182" s="76"/>
    </row>
    <row r="1183" spans="4:6">
      <c r="D1183" s="73">
        <v>42846</v>
      </c>
      <c r="E1183" s="74">
        <v>67134.17</v>
      </c>
      <c r="F1183" s="76"/>
    </row>
    <row r="1184" spans="4:6">
      <c r="D1184" s="73">
        <v>42846</v>
      </c>
      <c r="E1184" s="74">
        <v>200995.33</v>
      </c>
      <c r="F1184" s="76"/>
    </row>
    <row r="1185" spans="4:6">
      <c r="D1185" s="73">
        <v>42846</v>
      </c>
      <c r="E1185" s="74">
        <v>-67302.36</v>
      </c>
      <c r="F1185" s="76"/>
    </row>
    <row r="1186" spans="4:6">
      <c r="D1186" s="73">
        <v>42849</v>
      </c>
      <c r="E1186" s="74">
        <v>3993711.04</v>
      </c>
      <c r="F1186" s="76"/>
    </row>
    <row r="1187" spans="4:6">
      <c r="D1187" s="73">
        <v>42849</v>
      </c>
      <c r="E1187" s="74">
        <v>-205341.78</v>
      </c>
      <c r="F1187" s="76"/>
    </row>
    <row r="1188" spans="4:6">
      <c r="D1188" s="73">
        <v>42849</v>
      </c>
      <c r="E1188" s="74">
        <v>-338128.57</v>
      </c>
      <c r="F1188" s="76"/>
    </row>
    <row r="1189" spans="4:6">
      <c r="D1189" s="73">
        <v>42850</v>
      </c>
      <c r="E1189" s="74">
        <v>-63.51</v>
      </c>
      <c r="F1189" s="76"/>
    </row>
    <row r="1190" spans="4:6">
      <c r="D1190" s="73">
        <v>42850</v>
      </c>
      <c r="E1190" s="74">
        <v>-343743.4</v>
      </c>
      <c r="F1190" s="76"/>
    </row>
    <row r="1191" spans="4:6">
      <c r="D1191" s="73">
        <v>42850</v>
      </c>
      <c r="E1191" s="74">
        <v>347175.38</v>
      </c>
      <c r="F1191" s="76"/>
    </row>
    <row r="1192" spans="4:6">
      <c r="D1192" s="73">
        <v>42850</v>
      </c>
      <c r="E1192" s="74">
        <v>-8262501.6299999999</v>
      </c>
      <c r="F1192" s="76"/>
    </row>
    <row r="1193" spans="4:6">
      <c r="D1193" s="73">
        <v>42851</v>
      </c>
      <c r="E1193" s="74">
        <v>-312742.51</v>
      </c>
      <c r="F1193" s="76"/>
    </row>
    <row r="1194" spans="4:6">
      <c r="D1194" s="73">
        <v>42851</v>
      </c>
      <c r="E1194" s="74">
        <v>651380.84</v>
      </c>
      <c r="F1194" s="76"/>
    </row>
    <row r="1195" spans="4:6">
      <c r="D1195" s="73">
        <v>42851</v>
      </c>
      <c r="E1195" s="74">
        <v>-2299.36</v>
      </c>
      <c r="F1195" s="76"/>
    </row>
    <row r="1196" spans="4:6">
      <c r="D1196" s="73">
        <v>42851</v>
      </c>
      <c r="E1196" s="74">
        <v>-37983.300000000003</v>
      </c>
      <c r="F1196" s="76"/>
    </row>
    <row r="1197" spans="4:6">
      <c r="D1197" s="73">
        <v>42851</v>
      </c>
      <c r="E1197" s="74">
        <v>39.69</v>
      </c>
      <c r="F1197" s="76"/>
    </row>
    <row r="1198" spans="4:6">
      <c r="D1198" s="73">
        <v>42852</v>
      </c>
      <c r="E1198" s="74">
        <v>107526.01</v>
      </c>
      <c r="F1198" s="76"/>
    </row>
    <row r="1199" spans="4:6">
      <c r="D1199" s="73">
        <v>42852</v>
      </c>
      <c r="E1199" s="74">
        <v>192679.66</v>
      </c>
      <c r="F1199" s="76"/>
    </row>
    <row r="1200" spans="4:6">
      <c r="D1200" s="73">
        <v>42852</v>
      </c>
      <c r="E1200" s="74">
        <v>-400821.72</v>
      </c>
      <c r="F1200" s="76"/>
    </row>
    <row r="1201" spans="4:6">
      <c r="D1201" s="73">
        <v>42852</v>
      </c>
      <c r="E1201" s="74">
        <v>-4016.62</v>
      </c>
      <c r="F1201" s="76"/>
    </row>
    <row r="1202" spans="4:6">
      <c r="D1202" s="73">
        <v>42853</v>
      </c>
      <c r="E1202" s="74">
        <v>-5231.1000000000004</v>
      </c>
      <c r="F1202" s="76"/>
    </row>
    <row r="1203" spans="4:6">
      <c r="D1203" s="73">
        <v>42853</v>
      </c>
      <c r="E1203" s="74">
        <v>-262762.15000000002</v>
      </c>
      <c r="F1203" s="76"/>
    </row>
    <row r="1204" spans="4:6">
      <c r="D1204" s="73">
        <v>42853</v>
      </c>
      <c r="E1204" s="74">
        <v>-31698.9</v>
      </c>
      <c r="F1204" s="76"/>
    </row>
    <row r="1205" spans="4:6">
      <c r="D1205" s="73">
        <v>42853</v>
      </c>
      <c r="E1205" s="74">
        <v>92636.1</v>
      </c>
      <c r="F1205" s="76"/>
    </row>
    <row r="1206" spans="4:6">
      <c r="D1206" s="73">
        <v>42857</v>
      </c>
      <c r="E1206" s="74">
        <v>-381414.9</v>
      </c>
      <c r="F1206" s="76"/>
    </row>
    <row r="1207" spans="4:6">
      <c r="D1207" s="73">
        <v>42857</v>
      </c>
      <c r="E1207" s="74">
        <v>8852.6299999999992</v>
      </c>
      <c r="F1207" s="76"/>
    </row>
    <row r="1208" spans="4:6">
      <c r="D1208" s="73">
        <v>42857</v>
      </c>
      <c r="E1208" s="74">
        <v>-100389.18</v>
      </c>
      <c r="F1208" s="76"/>
    </row>
    <row r="1209" spans="4:6">
      <c r="D1209" s="73">
        <v>42857</v>
      </c>
      <c r="E1209" s="74">
        <v>215442.99</v>
      </c>
      <c r="F1209" s="76"/>
    </row>
    <row r="1210" spans="4:6">
      <c r="D1210" s="73">
        <v>42858</v>
      </c>
      <c r="E1210" s="74">
        <v>1091599.1100000001</v>
      </c>
      <c r="F1210" s="76"/>
    </row>
    <row r="1211" spans="4:6">
      <c r="D1211" s="73">
        <v>42858</v>
      </c>
      <c r="E1211" s="74">
        <v>-250020.85</v>
      </c>
      <c r="F1211" s="76"/>
    </row>
    <row r="1212" spans="4:6">
      <c r="D1212" s="73">
        <v>42858</v>
      </c>
      <c r="E1212" s="74">
        <v>-18375.88</v>
      </c>
      <c r="F1212" s="76"/>
    </row>
    <row r="1213" spans="4:6">
      <c r="D1213" s="73">
        <v>42858</v>
      </c>
      <c r="E1213" s="74">
        <v>-14163.44</v>
      </c>
      <c r="F1213" s="76"/>
    </row>
    <row r="1214" spans="4:6">
      <c r="D1214" s="73">
        <v>42858</v>
      </c>
      <c r="E1214" s="74">
        <v>13930.47</v>
      </c>
      <c r="F1214" s="76"/>
    </row>
    <row r="1215" spans="4:6">
      <c r="D1215" s="73">
        <v>42859</v>
      </c>
      <c r="E1215" s="74">
        <v>20.46</v>
      </c>
      <c r="F1215" s="76"/>
    </row>
    <row r="1216" spans="4:6">
      <c r="D1216" s="73">
        <v>42859</v>
      </c>
      <c r="E1216" s="74">
        <v>16412.810000000001</v>
      </c>
      <c r="F1216" s="76"/>
    </row>
    <row r="1217" spans="4:6">
      <c r="D1217" s="73">
        <v>42859</v>
      </c>
      <c r="E1217" s="74">
        <v>-147249.17000000001</v>
      </c>
      <c r="F1217" s="76"/>
    </row>
    <row r="1218" spans="4:6">
      <c r="D1218" s="73">
        <v>42859</v>
      </c>
      <c r="E1218" s="74">
        <v>-90894.54</v>
      </c>
      <c r="F1218" s="76"/>
    </row>
    <row r="1219" spans="4:6">
      <c r="D1219" s="73">
        <v>42859</v>
      </c>
      <c r="E1219" s="74">
        <v>61133.120000000003</v>
      </c>
      <c r="F1219" s="76"/>
    </row>
    <row r="1220" spans="4:6">
      <c r="D1220" s="73">
        <v>42860</v>
      </c>
      <c r="E1220" s="74">
        <v>-321586.17</v>
      </c>
      <c r="F1220" s="76"/>
    </row>
    <row r="1221" spans="4:6">
      <c r="D1221" s="73">
        <v>42860</v>
      </c>
      <c r="E1221" s="74">
        <v>4122899.54</v>
      </c>
      <c r="F1221" s="76"/>
    </row>
    <row r="1222" spans="4:6">
      <c r="D1222" s="73">
        <v>42860</v>
      </c>
      <c r="E1222" s="74">
        <v>-1469.28</v>
      </c>
      <c r="F1222" s="76"/>
    </row>
    <row r="1223" spans="4:6">
      <c r="D1223" s="73">
        <v>42863</v>
      </c>
      <c r="E1223" s="74">
        <v>6625.35</v>
      </c>
      <c r="F1223" s="76"/>
    </row>
    <row r="1224" spans="4:6">
      <c r="D1224" s="73">
        <v>42863</v>
      </c>
      <c r="E1224" s="74">
        <v>-41284.050000000003</v>
      </c>
      <c r="F1224" s="76"/>
    </row>
    <row r="1225" spans="4:6">
      <c r="D1225" s="73">
        <v>42863</v>
      </c>
      <c r="E1225" s="74">
        <v>295626.14</v>
      </c>
      <c r="F1225" s="76"/>
    </row>
    <row r="1226" spans="4:6">
      <c r="D1226" s="73">
        <v>42863</v>
      </c>
      <c r="E1226" s="74">
        <v>-5163.8100000000004</v>
      </c>
      <c r="F1226" s="76"/>
    </row>
    <row r="1227" spans="4:6">
      <c r="D1227" s="73">
        <v>42863</v>
      </c>
      <c r="E1227" s="74">
        <v>-95404.479999999996</v>
      </c>
      <c r="F1227" s="76"/>
    </row>
    <row r="1228" spans="4:6">
      <c r="D1228" s="73">
        <v>42864</v>
      </c>
      <c r="E1228" s="74">
        <v>968290.66</v>
      </c>
      <c r="F1228" s="76"/>
    </row>
    <row r="1229" spans="4:6">
      <c r="D1229" s="73">
        <v>42864</v>
      </c>
      <c r="E1229" s="74">
        <v>-4180.4799999999996</v>
      </c>
      <c r="F1229" s="76"/>
    </row>
    <row r="1230" spans="4:6">
      <c r="D1230" s="73">
        <v>42864</v>
      </c>
      <c r="E1230" s="74">
        <v>54319.63</v>
      </c>
      <c r="F1230" s="76"/>
    </row>
    <row r="1231" spans="4:6">
      <c r="D1231" s="73">
        <v>42864</v>
      </c>
      <c r="E1231" s="74">
        <v>-839275.14</v>
      </c>
      <c r="F1231" s="76"/>
    </row>
    <row r="1232" spans="4:6">
      <c r="D1232" s="73">
        <v>42864</v>
      </c>
      <c r="E1232" s="74">
        <v>8360.9599999999991</v>
      </c>
      <c r="F1232" s="76"/>
    </row>
    <row r="1233" spans="4:6">
      <c r="D1233" s="73">
        <v>42864</v>
      </c>
      <c r="E1233" s="74">
        <v>-54346.26</v>
      </c>
      <c r="F1233" s="76"/>
    </row>
    <row r="1234" spans="4:6">
      <c r="D1234" s="73">
        <v>42864</v>
      </c>
      <c r="E1234" s="74">
        <v>-2731326.37</v>
      </c>
      <c r="F1234" s="76"/>
    </row>
    <row r="1235" spans="4:6">
      <c r="D1235" s="73">
        <v>42865</v>
      </c>
      <c r="E1235" s="74">
        <v>-263869.8</v>
      </c>
      <c r="F1235" s="76"/>
    </row>
    <row r="1236" spans="4:6">
      <c r="D1236" s="73">
        <v>42865</v>
      </c>
      <c r="E1236" s="74">
        <v>2098.88</v>
      </c>
      <c r="F1236" s="76"/>
    </row>
    <row r="1237" spans="4:6">
      <c r="D1237" s="73">
        <v>42865</v>
      </c>
      <c r="E1237" s="74">
        <v>-123223.03</v>
      </c>
      <c r="F1237" s="76"/>
    </row>
    <row r="1238" spans="4:6">
      <c r="D1238" s="73">
        <v>42865</v>
      </c>
      <c r="E1238" s="74">
        <v>24871.35</v>
      </c>
      <c r="F1238" s="76"/>
    </row>
    <row r="1239" spans="4:6">
      <c r="D1239" s="73">
        <v>42865</v>
      </c>
      <c r="E1239" s="74">
        <v>170789.58</v>
      </c>
      <c r="F1239" s="76"/>
    </row>
    <row r="1240" spans="4:6">
      <c r="D1240" s="73">
        <v>42866</v>
      </c>
      <c r="E1240" s="74">
        <v>-10516.01</v>
      </c>
      <c r="F1240" s="76"/>
    </row>
    <row r="1241" spans="4:6">
      <c r="D1241" s="73">
        <v>42866</v>
      </c>
      <c r="E1241" s="74">
        <v>2103.1999999999998</v>
      </c>
      <c r="F1241" s="76"/>
    </row>
    <row r="1242" spans="4:6">
      <c r="D1242" s="73">
        <v>42866</v>
      </c>
      <c r="E1242" s="74">
        <v>227220.01</v>
      </c>
      <c r="F1242" s="76"/>
    </row>
    <row r="1243" spans="4:6">
      <c r="D1243" s="73">
        <v>42866</v>
      </c>
      <c r="E1243" s="74">
        <v>-103075.97</v>
      </c>
      <c r="F1243" s="76"/>
    </row>
    <row r="1244" spans="4:6">
      <c r="D1244" s="73">
        <v>42867</v>
      </c>
      <c r="E1244" s="74">
        <v>68415.94</v>
      </c>
      <c r="F1244" s="76"/>
    </row>
    <row r="1245" spans="4:6">
      <c r="D1245" s="73">
        <v>42867</v>
      </c>
      <c r="E1245" s="74">
        <v>-529042.07999999996</v>
      </c>
      <c r="F1245" s="76"/>
    </row>
    <row r="1246" spans="4:6">
      <c r="D1246" s="73">
        <v>42867</v>
      </c>
      <c r="E1246" s="74">
        <v>-422524.03</v>
      </c>
      <c r="F1246" s="76"/>
    </row>
    <row r="1247" spans="4:6">
      <c r="D1247" s="73">
        <v>42870</v>
      </c>
      <c r="E1247" s="74">
        <v>36173.040000000001</v>
      </c>
      <c r="F1247" s="76"/>
    </row>
    <row r="1248" spans="4:6">
      <c r="D1248" s="73">
        <v>42870</v>
      </c>
      <c r="E1248" s="74">
        <v>-129545.04</v>
      </c>
      <c r="F1248" s="76"/>
    </row>
    <row r="1249" spans="4:6">
      <c r="D1249" s="73">
        <v>42870</v>
      </c>
      <c r="E1249" s="74">
        <v>-31136.32</v>
      </c>
      <c r="F1249" s="76"/>
    </row>
    <row r="1250" spans="4:6">
      <c r="D1250" s="73">
        <v>42871</v>
      </c>
      <c r="E1250" s="74">
        <v>-79259.67</v>
      </c>
      <c r="F1250" s="76"/>
    </row>
    <row r="1251" spans="4:6">
      <c r="D1251" s="73">
        <v>42871</v>
      </c>
      <c r="E1251" s="74">
        <v>22721.279999999999</v>
      </c>
      <c r="F1251" s="76"/>
    </row>
    <row r="1252" spans="4:6">
      <c r="D1252" s="73">
        <v>42871</v>
      </c>
      <c r="E1252" s="74">
        <v>-230.68</v>
      </c>
      <c r="F1252" s="76"/>
    </row>
    <row r="1253" spans="4:6">
      <c r="D1253" s="73">
        <v>42871</v>
      </c>
      <c r="E1253" s="74">
        <v>85.47</v>
      </c>
      <c r="F1253" s="76"/>
    </row>
    <row r="1254" spans="4:6">
      <c r="D1254" s="73">
        <v>42871</v>
      </c>
      <c r="E1254" s="74">
        <v>-96474.45</v>
      </c>
      <c r="F1254" s="76"/>
    </row>
    <row r="1255" spans="4:6">
      <c r="D1255" s="73">
        <v>42871</v>
      </c>
      <c r="E1255" s="74">
        <v>-21855.01</v>
      </c>
      <c r="F1255" s="76"/>
    </row>
    <row r="1256" spans="4:6">
      <c r="D1256" s="73">
        <v>42871</v>
      </c>
      <c r="E1256" s="74">
        <v>91302.14</v>
      </c>
      <c r="F1256" s="76"/>
    </row>
    <row r="1257" spans="4:6">
      <c r="D1257" s="73">
        <v>42872</v>
      </c>
      <c r="E1257" s="74">
        <v>-80243.259999999995</v>
      </c>
      <c r="F1257" s="76"/>
    </row>
    <row r="1258" spans="4:6">
      <c r="D1258" s="73">
        <v>42872</v>
      </c>
      <c r="E1258" s="74">
        <v>53124.04</v>
      </c>
      <c r="F1258" s="76"/>
    </row>
    <row r="1259" spans="4:6">
      <c r="D1259" s="73">
        <v>42872</v>
      </c>
      <c r="E1259" s="74">
        <v>-81589.710000000006</v>
      </c>
      <c r="F1259" s="76"/>
    </row>
    <row r="1260" spans="4:6">
      <c r="D1260" s="73">
        <v>42872</v>
      </c>
      <c r="E1260" s="74">
        <v>734694.35</v>
      </c>
      <c r="F1260" s="76"/>
    </row>
    <row r="1261" spans="4:6">
      <c r="D1261" s="73">
        <v>42873</v>
      </c>
      <c r="E1261" s="74">
        <v>-1936.41</v>
      </c>
      <c r="F1261" s="76"/>
    </row>
    <row r="1262" spans="4:6">
      <c r="D1262" s="73">
        <v>42873</v>
      </c>
      <c r="E1262" s="74">
        <v>170515.31</v>
      </c>
      <c r="F1262" s="76"/>
    </row>
    <row r="1263" spans="4:6">
      <c r="D1263" s="73">
        <v>42873</v>
      </c>
      <c r="E1263" s="74">
        <v>-48463.57</v>
      </c>
      <c r="F1263" s="76"/>
    </row>
    <row r="1264" spans="4:6">
      <c r="D1264" s="73">
        <v>42873</v>
      </c>
      <c r="E1264" s="74">
        <v>-86110.28</v>
      </c>
      <c r="F1264" s="76"/>
    </row>
    <row r="1265" spans="4:6">
      <c r="D1265" s="73">
        <v>42873</v>
      </c>
      <c r="E1265" s="74">
        <v>8546.9699999999993</v>
      </c>
      <c r="F1265" s="76"/>
    </row>
    <row r="1266" spans="4:6">
      <c r="D1266" s="73">
        <v>42874</v>
      </c>
      <c r="E1266" s="74">
        <v>166871.01</v>
      </c>
      <c r="F1266" s="76"/>
    </row>
    <row r="1267" spans="4:6">
      <c r="D1267" s="73">
        <v>42874</v>
      </c>
      <c r="E1267" s="74">
        <v>-43568.42</v>
      </c>
      <c r="F1267" s="76"/>
    </row>
    <row r="1268" spans="4:6">
      <c r="D1268" s="73">
        <v>42874</v>
      </c>
      <c r="E1268" s="74">
        <v>-111418.6</v>
      </c>
      <c r="F1268" s="76"/>
    </row>
    <row r="1269" spans="4:6">
      <c r="D1269" s="73">
        <v>42877</v>
      </c>
      <c r="E1269" s="74">
        <v>-175.17</v>
      </c>
      <c r="F1269" s="76"/>
    </row>
    <row r="1270" spans="4:6">
      <c r="D1270" s="73">
        <v>42877</v>
      </c>
      <c r="E1270" s="74">
        <v>6062.8</v>
      </c>
      <c r="F1270" s="76"/>
    </row>
    <row r="1271" spans="4:6">
      <c r="D1271" s="73">
        <v>42877</v>
      </c>
      <c r="E1271" s="74">
        <v>60186.61</v>
      </c>
      <c r="F1271" s="76"/>
    </row>
    <row r="1272" spans="4:6">
      <c r="D1272" s="73">
        <v>42877</v>
      </c>
      <c r="E1272" s="74">
        <v>-620232.26</v>
      </c>
      <c r="F1272" s="76"/>
    </row>
    <row r="1273" spans="4:6">
      <c r="D1273" s="73">
        <v>42878</v>
      </c>
      <c r="E1273" s="74">
        <v>-328167.64</v>
      </c>
      <c r="F1273" s="76"/>
    </row>
    <row r="1274" spans="4:6">
      <c r="D1274" s="73">
        <v>42878</v>
      </c>
      <c r="E1274" s="74">
        <v>-2658.06</v>
      </c>
      <c r="F1274" s="76"/>
    </row>
    <row r="1275" spans="4:6">
      <c r="D1275" s="73">
        <v>42878</v>
      </c>
      <c r="E1275" s="74">
        <v>-163037.32</v>
      </c>
      <c r="F1275" s="76"/>
    </row>
    <row r="1276" spans="4:6">
      <c r="D1276" s="73">
        <v>42878</v>
      </c>
      <c r="E1276" s="74">
        <v>5382.72</v>
      </c>
      <c r="F1276" s="76"/>
    </row>
    <row r="1277" spans="4:6">
      <c r="D1277" s="73">
        <v>42879</v>
      </c>
      <c r="E1277" s="74">
        <v>-7493.85</v>
      </c>
      <c r="F1277" s="76"/>
    </row>
    <row r="1278" spans="4:6">
      <c r="D1278" s="73">
        <v>42879</v>
      </c>
      <c r="E1278" s="74">
        <v>-84145.18</v>
      </c>
      <c r="F1278" s="76"/>
    </row>
    <row r="1279" spans="4:6">
      <c r="D1279" s="73">
        <v>42879</v>
      </c>
      <c r="E1279" s="74">
        <v>108264.12</v>
      </c>
      <c r="F1279" s="76"/>
    </row>
    <row r="1280" spans="4:6">
      <c r="D1280" s="73">
        <v>42879</v>
      </c>
      <c r="E1280" s="74">
        <v>1492.73</v>
      </c>
      <c r="F1280" s="76"/>
    </row>
    <row r="1281" spans="4:6">
      <c r="D1281" s="73">
        <v>42879</v>
      </c>
      <c r="E1281" s="74">
        <v>-1005.9</v>
      </c>
      <c r="F1281" s="76"/>
    </row>
    <row r="1282" spans="4:6">
      <c r="D1282" s="73">
        <v>42880</v>
      </c>
      <c r="E1282" s="74">
        <v>-878837.18</v>
      </c>
      <c r="F1282" s="76"/>
    </row>
    <row r="1283" spans="4:6">
      <c r="D1283" s="73">
        <v>42880</v>
      </c>
      <c r="E1283" s="74">
        <v>154977.29999999999</v>
      </c>
      <c r="F1283" s="76"/>
    </row>
    <row r="1284" spans="4:6">
      <c r="D1284" s="73">
        <v>42880</v>
      </c>
      <c r="E1284" s="74">
        <v>161629.98000000001</v>
      </c>
      <c r="F1284" s="76"/>
    </row>
    <row r="1285" spans="4:6">
      <c r="D1285" s="73">
        <v>42880</v>
      </c>
      <c r="E1285" s="74">
        <v>-22990.400000000001</v>
      </c>
      <c r="F1285" s="76"/>
    </row>
    <row r="1286" spans="4:6">
      <c r="D1286" s="73">
        <v>42881</v>
      </c>
      <c r="E1286" s="74">
        <v>-108.95</v>
      </c>
      <c r="F1286" s="76"/>
    </row>
    <row r="1287" spans="4:6">
      <c r="D1287" s="73">
        <v>42881</v>
      </c>
      <c r="E1287" s="74">
        <v>-21385.57</v>
      </c>
      <c r="F1287" s="76"/>
    </row>
    <row r="1288" spans="4:6">
      <c r="D1288" s="73">
        <v>42881</v>
      </c>
      <c r="E1288" s="74">
        <v>-2219.2399999999998</v>
      </c>
      <c r="F1288" s="76"/>
    </row>
    <row r="1289" spans="4:6">
      <c r="D1289" s="73">
        <v>42881</v>
      </c>
      <c r="E1289" s="74">
        <v>208692.36</v>
      </c>
      <c r="F1289" s="76"/>
    </row>
    <row r="1290" spans="4:6">
      <c r="D1290" s="73">
        <v>42885</v>
      </c>
      <c r="E1290" s="74">
        <v>-124798.39999999999</v>
      </c>
      <c r="F1290" s="76"/>
    </row>
    <row r="1291" spans="4:6">
      <c r="D1291" s="73">
        <v>42885</v>
      </c>
      <c r="E1291" s="74">
        <v>22178.16</v>
      </c>
      <c r="F1291" s="76"/>
    </row>
    <row r="1292" spans="4:6">
      <c r="D1292" s="73">
        <v>42885</v>
      </c>
      <c r="E1292" s="74">
        <v>-67016.320000000007</v>
      </c>
      <c r="F1292" s="76"/>
    </row>
    <row r="1293" spans="4:6">
      <c r="D1293" s="73">
        <v>42885</v>
      </c>
      <c r="E1293" s="74">
        <v>-26423.75</v>
      </c>
      <c r="F1293" s="76"/>
    </row>
    <row r="1294" spans="4:6">
      <c r="D1294" s="73">
        <v>42885</v>
      </c>
      <c r="E1294" s="74">
        <v>56048.19</v>
      </c>
      <c r="F1294" s="76"/>
    </row>
    <row r="1295" spans="4:6">
      <c r="D1295" s="73">
        <v>42886</v>
      </c>
      <c r="E1295" s="74">
        <v>1517854.14</v>
      </c>
      <c r="F1295" s="76"/>
    </row>
    <row r="1296" spans="4:6">
      <c r="D1296" s="73">
        <v>42886</v>
      </c>
      <c r="E1296" s="74">
        <v>-67271.05</v>
      </c>
      <c r="F1296" s="76"/>
    </row>
    <row r="1297" spans="4:6">
      <c r="D1297" s="73">
        <v>42886</v>
      </c>
      <c r="E1297" s="74">
        <v>221.85</v>
      </c>
      <c r="F1297" s="76"/>
    </row>
    <row r="1298" spans="4:6">
      <c r="D1298" s="73">
        <v>42886</v>
      </c>
      <c r="E1298" s="74">
        <v>-45475.23</v>
      </c>
      <c r="F1298" s="76"/>
    </row>
    <row r="1299" spans="4:6">
      <c r="D1299" s="73">
        <v>42886</v>
      </c>
      <c r="E1299" s="74">
        <v>-92834.04</v>
      </c>
      <c r="F1299" s="76"/>
    </row>
    <row r="1300" spans="4:6">
      <c r="D1300" s="73">
        <v>42887</v>
      </c>
      <c r="E1300" s="74">
        <v>2246.9699999999998</v>
      </c>
      <c r="F1300" s="76"/>
    </row>
    <row r="1301" spans="4:6">
      <c r="D1301" s="73">
        <v>42887</v>
      </c>
      <c r="E1301" s="74">
        <v>-132145.64000000001</v>
      </c>
      <c r="F1301" s="76"/>
    </row>
    <row r="1302" spans="4:6">
      <c r="D1302" s="73">
        <v>42887</v>
      </c>
      <c r="E1302" s="74">
        <v>53816.83</v>
      </c>
      <c r="F1302" s="76"/>
    </row>
    <row r="1303" spans="4:6">
      <c r="D1303" s="73">
        <v>42887</v>
      </c>
      <c r="E1303" s="74">
        <v>-410503.08</v>
      </c>
      <c r="F1303" s="76"/>
    </row>
    <row r="1304" spans="4:6">
      <c r="D1304" s="73">
        <v>42887</v>
      </c>
      <c r="E1304" s="74">
        <v>17024</v>
      </c>
      <c r="F1304" s="76"/>
    </row>
    <row r="1305" spans="4:6">
      <c r="D1305" s="73">
        <v>42888</v>
      </c>
      <c r="E1305" s="74">
        <v>4499.8100000000004</v>
      </c>
      <c r="F1305" s="76"/>
    </row>
    <row r="1306" spans="4:6">
      <c r="D1306" s="73">
        <v>42888</v>
      </c>
      <c r="E1306" s="74">
        <v>-636105.48</v>
      </c>
      <c r="F1306" s="76"/>
    </row>
    <row r="1307" spans="4:6">
      <c r="D1307" s="73">
        <v>42888</v>
      </c>
      <c r="E1307" s="74">
        <v>164323.21</v>
      </c>
      <c r="F1307" s="76"/>
    </row>
    <row r="1308" spans="4:6">
      <c r="D1308" s="73">
        <v>42888</v>
      </c>
      <c r="E1308" s="74">
        <v>2246.9699999999998</v>
      </c>
      <c r="F1308" s="76"/>
    </row>
    <row r="1309" spans="4:6">
      <c r="D1309" s="73">
        <v>42888</v>
      </c>
      <c r="E1309" s="74">
        <v>-13499.43</v>
      </c>
      <c r="F1309" s="76"/>
    </row>
    <row r="1310" spans="4:6">
      <c r="D1310" s="73">
        <v>42888</v>
      </c>
      <c r="E1310" s="74">
        <v>-703375.53</v>
      </c>
      <c r="F1310" s="76"/>
    </row>
    <row r="1311" spans="4:6">
      <c r="D1311" s="73">
        <v>42891</v>
      </c>
      <c r="E1311" s="74">
        <v>-3168.08</v>
      </c>
      <c r="F1311" s="76"/>
    </row>
    <row r="1312" spans="4:6">
      <c r="D1312" s="73">
        <v>42891</v>
      </c>
      <c r="E1312" s="74">
        <v>22.63</v>
      </c>
      <c r="F1312" s="76"/>
    </row>
    <row r="1313" spans="4:6">
      <c r="D1313" s="73">
        <v>42891</v>
      </c>
      <c r="E1313" s="74">
        <v>-249941.09</v>
      </c>
      <c r="F1313" s="76"/>
    </row>
    <row r="1314" spans="4:6">
      <c r="D1314" s="73">
        <v>42891</v>
      </c>
      <c r="E1314" s="74">
        <v>68765.67</v>
      </c>
      <c r="F1314" s="76"/>
    </row>
    <row r="1315" spans="4:6">
      <c r="D1315" s="73">
        <v>42891</v>
      </c>
      <c r="E1315" s="74">
        <v>-460048.98</v>
      </c>
      <c r="F1315" s="76"/>
    </row>
    <row r="1316" spans="4:6">
      <c r="D1316" s="73">
        <v>42891</v>
      </c>
      <c r="E1316" s="74">
        <v>5339.45</v>
      </c>
      <c r="F1316" s="76"/>
    </row>
    <row r="1317" spans="4:6">
      <c r="D1317" s="73">
        <v>42892</v>
      </c>
      <c r="E1317" s="74">
        <v>-2267.81</v>
      </c>
      <c r="F1317" s="76"/>
    </row>
    <row r="1318" spans="4:6">
      <c r="D1318" s="73">
        <v>42892</v>
      </c>
      <c r="E1318" s="74">
        <v>-161352</v>
      </c>
      <c r="F1318" s="76"/>
    </row>
    <row r="1319" spans="4:6">
      <c r="D1319" s="73">
        <v>42893</v>
      </c>
      <c r="E1319" s="74">
        <v>27845.64</v>
      </c>
      <c r="F1319" s="76"/>
    </row>
    <row r="1320" spans="4:6">
      <c r="D1320" s="73">
        <v>42893</v>
      </c>
      <c r="E1320" s="74">
        <v>-3004.19</v>
      </c>
      <c r="F1320" s="76"/>
    </row>
    <row r="1321" spans="4:6">
      <c r="D1321" s="73">
        <v>42893</v>
      </c>
      <c r="E1321" s="74">
        <v>10739448.26</v>
      </c>
      <c r="F1321" s="76"/>
    </row>
    <row r="1322" spans="4:6">
      <c r="D1322" s="73">
        <v>42893</v>
      </c>
      <c r="E1322" s="74">
        <v>-473026.84</v>
      </c>
      <c r="F1322" s="76"/>
    </row>
    <row r="1323" spans="4:6">
      <c r="D1323" s="73">
        <v>42893</v>
      </c>
      <c r="E1323" s="74">
        <v>-53884.27</v>
      </c>
      <c r="F1323" s="76"/>
    </row>
    <row r="1324" spans="4:6">
      <c r="D1324" s="73">
        <v>42894</v>
      </c>
      <c r="E1324" s="74">
        <v>-68718.92</v>
      </c>
      <c r="F1324" s="76"/>
    </row>
    <row r="1325" spans="4:6">
      <c r="D1325" s="73">
        <v>42894</v>
      </c>
      <c r="E1325" s="74">
        <v>-17688006.530000001</v>
      </c>
      <c r="F1325" s="76"/>
    </row>
    <row r="1326" spans="4:6">
      <c r="D1326" s="73">
        <v>42894</v>
      </c>
      <c r="E1326" s="74">
        <v>54666.82</v>
      </c>
      <c r="F1326" s="76"/>
    </row>
    <row r="1327" spans="4:6">
      <c r="D1327" s="73">
        <v>42894</v>
      </c>
      <c r="E1327" s="74">
        <v>24763.71</v>
      </c>
      <c r="F1327" s="76"/>
    </row>
    <row r="1328" spans="4:6">
      <c r="D1328" s="73">
        <v>42895</v>
      </c>
      <c r="E1328" s="74">
        <v>-93.27</v>
      </c>
      <c r="F1328" s="76"/>
    </row>
    <row r="1329" spans="4:6">
      <c r="D1329" s="73">
        <v>42895</v>
      </c>
      <c r="E1329" s="74">
        <v>-9737.7099999999991</v>
      </c>
      <c r="F1329" s="76"/>
    </row>
    <row r="1330" spans="4:6">
      <c r="D1330" s="73">
        <v>42895</v>
      </c>
      <c r="E1330" s="74">
        <v>23177.64</v>
      </c>
      <c r="F1330" s="76"/>
    </row>
    <row r="1331" spans="4:6">
      <c r="D1331" s="73">
        <v>42898</v>
      </c>
      <c r="E1331" s="74">
        <v>105355.7</v>
      </c>
      <c r="F1331" s="76"/>
    </row>
    <row r="1332" spans="4:6">
      <c r="D1332" s="73">
        <v>42898</v>
      </c>
      <c r="E1332" s="74">
        <v>-696.6</v>
      </c>
      <c r="F1332" s="76"/>
    </row>
    <row r="1333" spans="4:6">
      <c r="D1333" s="73">
        <v>42898</v>
      </c>
      <c r="E1333" s="74">
        <v>-185381.26</v>
      </c>
      <c r="F1333" s="76"/>
    </row>
    <row r="1334" spans="4:6">
      <c r="D1334" s="73">
        <v>42898</v>
      </c>
      <c r="E1334" s="74">
        <v>12179.92</v>
      </c>
      <c r="F1334" s="76"/>
    </row>
    <row r="1335" spans="4:6">
      <c r="D1335" s="73">
        <v>42899</v>
      </c>
      <c r="E1335" s="74">
        <v>319269.25</v>
      </c>
      <c r="F1335" s="76"/>
    </row>
    <row r="1336" spans="4:6">
      <c r="D1336" s="73">
        <v>42899</v>
      </c>
      <c r="E1336" s="74">
        <v>-1171.06</v>
      </c>
      <c r="F1336" s="76"/>
    </row>
    <row r="1337" spans="4:6">
      <c r="D1337" s="73">
        <v>42899</v>
      </c>
      <c r="E1337" s="74">
        <v>-9368.5</v>
      </c>
      <c r="F1337" s="76"/>
    </row>
    <row r="1338" spans="4:6">
      <c r="D1338" s="73">
        <v>42899</v>
      </c>
      <c r="E1338" s="74">
        <v>-37358.33</v>
      </c>
      <c r="F1338" s="76"/>
    </row>
    <row r="1339" spans="4:6">
      <c r="D1339" s="73">
        <v>42899</v>
      </c>
      <c r="E1339" s="74">
        <v>46887.14</v>
      </c>
      <c r="F1339" s="76"/>
    </row>
    <row r="1340" spans="4:6">
      <c r="D1340" s="73">
        <v>42900</v>
      </c>
      <c r="E1340" s="74">
        <v>-476439.91</v>
      </c>
      <c r="F1340" s="76"/>
    </row>
    <row r="1341" spans="4:6">
      <c r="D1341" s="73">
        <v>42900</v>
      </c>
      <c r="E1341" s="74">
        <v>23209.439999999999</v>
      </c>
      <c r="F1341" s="76"/>
    </row>
    <row r="1342" spans="4:6">
      <c r="D1342" s="73">
        <v>42900</v>
      </c>
      <c r="E1342" s="74">
        <v>30147.27</v>
      </c>
      <c r="F1342" s="76"/>
    </row>
    <row r="1343" spans="4:6">
      <c r="D1343" s="73">
        <v>42900</v>
      </c>
      <c r="E1343" s="74">
        <v>-108194.07</v>
      </c>
      <c r="F1343" s="76"/>
    </row>
    <row r="1344" spans="4:6">
      <c r="D1344" s="73">
        <v>42901</v>
      </c>
      <c r="E1344" s="74">
        <v>-3058070.65</v>
      </c>
      <c r="F1344" s="76"/>
    </row>
    <row r="1345" spans="4:6">
      <c r="D1345" s="73">
        <v>42901</v>
      </c>
      <c r="E1345" s="74">
        <v>2244223.94</v>
      </c>
      <c r="F1345" s="76"/>
    </row>
    <row r="1346" spans="4:6">
      <c r="D1346" s="73">
        <v>42901</v>
      </c>
      <c r="E1346" s="74">
        <v>938.8</v>
      </c>
      <c r="F1346" s="76"/>
    </row>
    <row r="1347" spans="4:6">
      <c r="D1347" s="73">
        <v>42901</v>
      </c>
      <c r="E1347" s="74">
        <v>-22363.3</v>
      </c>
      <c r="F1347" s="76"/>
    </row>
    <row r="1348" spans="4:6">
      <c r="D1348" s="73">
        <v>42902</v>
      </c>
      <c r="E1348" s="74">
        <v>105872.93</v>
      </c>
      <c r="F1348" s="76"/>
    </row>
    <row r="1349" spans="4:6">
      <c r="D1349" s="73">
        <v>42902</v>
      </c>
      <c r="E1349" s="74">
        <v>-146660.97</v>
      </c>
      <c r="F1349" s="76"/>
    </row>
    <row r="1350" spans="4:6">
      <c r="D1350" s="73">
        <v>42902</v>
      </c>
      <c r="E1350" s="74">
        <v>-19889.78</v>
      </c>
      <c r="F1350" s="76"/>
    </row>
    <row r="1351" spans="4:6">
      <c r="D1351" s="73">
        <v>42902</v>
      </c>
      <c r="E1351" s="74">
        <v>94.33</v>
      </c>
      <c r="F1351" s="76"/>
    </row>
    <row r="1352" spans="4:6">
      <c r="D1352" s="73">
        <v>42902</v>
      </c>
      <c r="E1352" s="74">
        <v>994977.93</v>
      </c>
      <c r="F1352" s="76"/>
    </row>
    <row r="1353" spans="4:6">
      <c r="D1353" s="73">
        <v>42902</v>
      </c>
      <c r="E1353" s="74">
        <v>-10242.07</v>
      </c>
      <c r="F1353" s="76"/>
    </row>
    <row r="1354" spans="4:6">
      <c r="D1354" s="73">
        <v>42905</v>
      </c>
      <c r="E1354" s="74">
        <v>-438524.25</v>
      </c>
      <c r="F1354" s="76"/>
    </row>
    <row r="1355" spans="4:6">
      <c r="D1355" s="73">
        <v>42905</v>
      </c>
      <c r="E1355" s="74">
        <v>-686065.44</v>
      </c>
      <c r="F1355" s="76"/>
    </row>
    <row r="1356" spans="4:6">
      <c r="D1356" s="73">
        <v>42905</v>
      </c>
      <c r="E1356" s="74">
        <v>2354.0300000000002</v>
      </c>
      <c r="F1356" s="76"/>
    </row>
    <row r="1357" spans="4:6">
      <c r="D1357" s="73">
        <v>42905</v>
      </c>
      <c r="E1357" s="74">
        <v>-7523.06</v>
      </c>
      <c r="F1357" s="76"/>
    </row>
    <row r="1358" spans="4:6">
      <c r="D1358" s="73">
        <v>42905</v>
      </c>
      <c r="E1358" s="74">
        <v>98773.34</v>
      </c>
      <c r="F1358" s="76"/>
    </row>
    <row r="1359" spans="4:6">
      <c r="D1359" s="73">
        <v>42905</v>
      </c>
      <c r="E1359" s="74">
        <v>-28388.91</v>
      </c>
      <c r="F1359" s="76"/>
    </row>
    <row r="1360" spans="4:6">
      <c r="D1360" s="73">
        <v>42906</v>
      </c>
      <c r="E1360" s="74">
        <v>-38969029.509999998</v>
      </c>
      <c r="F1360" s="76"/>
    </row>
    <row r="1361" spans="4:6">
      <c r="D1361" s="73">
        <v>42906</v>
      </c>
      <c r="E1361" s="74">
        <v>-216510.93</v>
      </c>
      <c r="F1361" s="76"/>
    </row>
    <row r="1362" spans="4:6">
      <c r="D1362" s="73">
        <v>42906</v>
      </c>
      <c r="E1362" s="74">
        <v>-562055.1</v>
      </c>
      <c r="F1362" s="76"/>
    </row>
    <row r="1363" spans="4:6">
      <c r="D1363" s="73">
        <v>42906</v>
      </c>
      <c r="E1363" s="74">
        <v>-20686.89</v>
      </c>
      <c r="F1363" s="76"/>
    </row>
    <row r="1364" spans="4:6">
      <c r="D1364" s="73">
        <v>42909</v>
      </c>
      <c r="E1364" s="74">
        <v>-50.55</v>
      </c>
      <c r="F1364" s="76"/>
    </row>
    <row r="1365" spans="4:6">
      <c r="D1365" s="73">
        <v>42909</v>
      </c>
      <c r="E1365" s="74">
        <v>-7339.42</v>
      </c>
      <c r="F1365" s="76"/>
    </row>
    <row r="1366" spans="4:6">
      <c r="D1366" s="73">
        <v>42909</v>
      </c>
      <c r="E1366" s="74">
        <v>19.14</v>
      </c>
      <c r="F1366" s="76"/>
    </row>
    <row r="1367" spans="4:6">
      <c r="D1367" s="73">
        <v>42909</v>
      </c>
      <c r="E1367" s="74">
        <v>146835.57999999999</v>
      </c>
      <c r="F1367" s="76"/>
    </row>
    <row r="1368" spans="4:6">
      <c r="D1368" s="73">
        <v>42909</v>
      </c>
      <c r="E1368" s="74">
        <v>15846.2</v>
      </c>
      <c r="F1368" s="76"/>
    </row>
    <row r="1369" spans="4:6">
      <c r="D1369" s="73">
        <v>42915</v>
      </c>
      <c r="E1369" s="74">
        <v>413.36</v>
      </c>
      <c r="F1369" s="76"/>
    </row>
    <row r="1370" spans="4:6">
      <c r="D1370" s="73">
        <v>42916</v>
      </c>
      <c r="E1370" s="74">
        <v>0.11</v>
      </c>
      <c r="F1370" s="76"/>
    </row>
    <row r="1371" spans="4:6">
      <c r="D1371" s="73">
        <v>42916</v>
      </c>
      <c r="E1371" s="74">
        <v>-2.0699999999999998</v>
      </c>
      <c r="F1371" s="76"/>
    </row>
    <row r="1372" spans="4:6">
      <c r="D1372" s="73">
        <v>42916</v>
      </c>
      <c r="E1372" s="74">
        <v>-171.69</v>
      </c>
      <c r="F1372" s="76"/>
    </row>
    <row r="1373" spans="4:6">
      <c r="D1373" s="73">
        <v>42916</v>
      </c>
      <c r="E1373" s="74">
        <v>-1346.33</v>
      </c>
      <c r="F1373" s="76"/>
    </row>
    <row r="1374" spans="4:6">
      <c r="D1374" s="73">
        <v>42916</v>
      </c>
      <c r="E1374" s="74">
        <v>-53.23</v>
      </c>
      <c r="F1374" s="76"/>
    </row>
    <row r="1375" spans="4:6">
      <c r="D1375" s="73">
        <v>42916</v>
      </c>
      <c r="E1375" s="74">
        <v>802.42</v>
      </c>
      <c r="F1375" s="76"/>
    </row>
    <row r="1376" spans="4:6">
      <c r="D1376" s="73">
        <v>42916</v>
      </c>
      <c r="E1376" s="74">
        <v>-961.17</v>
      </c>
      <c r="F1376" s="76"/>
    </row>
    <row r="1377" spans="4:6">
      <c r="D1377" s="73">
        <v>42916</v>
      </c>
      <c r="E1377" s="74">
        <v>25699</v>
      </c>
      <c r="F1377" s="76"/>
    </row>
    <row r="1378" spans="4:6">
      <c r="D1378" s="73">
        <v>42916</v>
      </c>
      <c r="E1378" s="74">
        <v>-251</v>
      </c>
      <c r="F1378" s="76"/>
    </row>
    <row r="1379" spans="4:6">
      <c r="D1379" s="73">
        <v>42916</v>
      </c>
      <c r="E1379" s="74">
        <v>2731817</v>
      </c>
      <c r="F1379" s="76"/>
    </row>
    <row r="1380" spans="4:6">
      <c r="D1380" s="73">
        <v>42916</v>
      </c>
      <c r="E1380" s="74">
        <v>53.23</v>
      </c>
      <c r="F1380" s="76"/>
    </row>
    <row r="1381" spans="4:6">
      <c r="E1381" s="76">
        <f>SUM(E377:E1380)</f>
        <v>-61270632.899999999</v>
      </c>
    </row>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election activeCell="E1" sqref="E1"/>
    </sheetView>
  </sheetViews>
  <sheetFormatPr defaultRowHeight="15.75"/>
  <sheetData>
    <row r="1" spans="1:5">
      <c r="A1" t="s">
        <v>1637</v>
      </c>
      <c r="B1" t="s">
        <v>1638</v>
      </c>
      <c r="C1" t="s">
        <v>1639</v>
      </c>
      <c r="D1" t="s">
        <v>1640</v>
      </c>
      <c r="E1" t="s">
        <v>1641</v>
      </c>
    </row>
  </sheetData>
  <pageMargins left="0.7" right="0.7" top="0.7"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69"/>
  <sheetViews>
    <sheetView view="pageBreakPreview" zoomScaleNormal="100" zoomScaleSheetLayoutView="100" workbookViewId="0">
      <selection activeCell="X16" sqref="X16"/>
    </sheetView>
  </sheetViews>
  <sheetFormatPr defaultColWidth="9" defaultRowHeight="12"/>
  <cols>
    <col min="1" max="1" width="5.125" style="1727" customWidth="1"/>
    <col min="2" max="2" width="2.375" style="1727" customWidth="1"/>
    <col min="3" max="3" width="40.875" style="1727" customWidth="1"/>
    <col min="4" max="4" width="4.125" style="1709" customWidth="1"/>
    <col min="5" max="5" width="13.75" style="1709" customWidth="1"/>
    <col min="6" max="6" width="0.875" style="1709" customWidth="1"/>
    <col min="7" max="7" width="14.25" style="1709" customWidth="1"/>
    <col min="8" max="8" width="0.875" style="1709" customWidth="1"/>
    <col min="9" max="9" width="1.75" style="1727" customWidth="1"/>
    <col min="10" max="10" width="12.5" style="1727" hidden="1" customWidth="1"/>
    <col min="11" max="11" width="13.375" style="1727" hidden="1" customWidth="1"/>
    <col min="12" max="12" width="20.5" style="1727" hidden="1" customWidth="1"/>
    <col min="13" max="20" width="0" style="1727" hidden="1" customWidth="1"/>
    <col min="21" max="16384" width="9" style="1727"/>
  </cols>
  <sheetData>
    <row r="1" spans="1:12">
      <c r="A1" s="1743" t="s">
        <v>671</v>
      </c>
      <c r="B1" s="1743"/>
      <c r="C1" s="1743"/>
      <c r="D1" s="1778"/>
      <c r="E1" s="1778"/>
      <c r="F1" s="1778"/>
      <c r="G1" s="1778"/>
      <c r="H1" s="1778"/>
    </row>
    <row r="2" spans="1:12">
      <c r="A2" s="1743" t="s">
        <v>1963</v>
      </c>
      <c r="B2" s="1743"/>
      <c r="C2" s="1743"/>
      <c r="D2" s="1778"/>
      <c r="E2" s="1778"/>
      <c r="F2" s="1778"/>
      <c r="G2" s="1778"/>
      <c r="H2" s="1778"/>
    </row>
    <row r="3" spans="1:12">
      <c r="A3" s="1743" t="str">
        <f>+IS!A3</f>
        <v>FOR THE QUARTER ENDED SEPTEMBER 30, 2021</v>
      </c>
      <c r="B3" s="1743"/>
      <c r="C3" s="1743"/>
      <c r="D3" s="1778"/>
      <c r="E3" s="1778"/>
      <c r="F3" s="1778"/>
      <c r="G3" s="1778"/>
      <c r="H3" s="1778"/>
    </row>
    <row r="4" spans="1:12">
      <c r="A4" s="1743"/>
      <c r="B4" s="1743"/>
      <c r="C4" s="1743"/>
      <c r="D4" s="1778"/>
      <c r="E4" s="1778"/>
      <c r="F4" s="1778"/>
      <c r="G4" s="1778"/>
      <c r="H4" s="1778"/>
    </row>
    <row r="5" spans="1:12">
      <c r="A5" s="1743"/>
      <c r="B5" s="1743"/>
      <c r="C5" s="1743"/>
      <c r="D5" s="1778"/>
      <c r="E5" s="2877" t="s">
        <v>2277</v>
      </c>
      <c r="F5" s="2877"/>
      <c r="G5" s="2877"/>
      <c r="H5" s="1778"/>
    </row>
    <row r="6" spans="1:12">
      <c r="A6" s="1743"/>
      <c r="B6" s="1743"/>
      <c r="C6" s="1743"/>
      <c r="D6" s="1778"/>
      <c r="E6" s="2877" t="s">
        <v>1969</v>
      </c>
      <c r="F6" s="2877"/>
      <c r="G6" s="2877"/>
      <c r="H6" s="1778"/>
      <c r="J6" s="1727" t="s">
        <v>2221</v>
      </c>
    </row>
    <row r="7" spans="1:12">
      <c r="E7" s="1865">
        <v>2021</v>
      </c>
      <c r="F7" s="1865"/>
      <c r="G7" s="1865">
        <v>2020</v>
      </c>
      <c r="H7" s="2220"/>
      <c r="I7" s="1745"/>
    </row>
    <row r="8" spans="1:12">
      <c r="C8" s="1866"/>
      <c r="D8" s="2455" t="s">
        <v>678</v>
      </c>
      <c r="E8" s="2878" t="s">
        <v>707</v>
      </c>
      <c r="F8" s="2878"/>
      <c r="G8" s="2878"/>
      <c r="H8" s="2455"/>
      <c r="I8" s="1867"/>
    </row>
    <row r="9" spans="1:12">
      <c r="C9" s="1866"/>
      <c r="D9" s="2455"/>
      <c r="E9" s="2455"/>
      <c r="F9" s="2455"/>
      <c r="G9" s="2455"/>
      <c r="H9" s="2455"/>
      <c r="I9" s="1867"/>
    </row>
    <row r="10" spans="1:12" s="1730" customFormat="1">
      <c r="A10" s="1695" t="s">
        <v>1959</v>
      </c>
      <c r="D10" s="1697"/>
      <c r="E10" s="2795">
        <v>23459.133000000038</v>
      </c>
      <c r="F10" s="1697"/>
      <c r="G10" s="1698">
        <v>13142</v>
      </c>
      <c r="H10" s="1697"/>
      <c r="J10" s="1868">
        <v>31743</v>
      </c>
      <c r="K10" s="1730" t="s">
        <v>739</v>
      </c>
      <c r="L10" s="1730">
        <v>0</v>
      </c>
    </row>
    <row r="11" spans="1:12">
      <c r="A11" s="1675"/>
      <c r="D11" s="1700"/>
      <c r="E11" s="2796"/>
      <c r="F11" s="1700"/>
      <c r="G11" s="1700"/>
      <c r="H11" s="1700"/>
    </row>
    <row r="12" spans="1:12">
      <c r="A12" s="1701" t="s">
        <v>2451</v>
      </c>
      <c r="D12" s="1843"/>
      <c r="E12" s="2797">
        <v>0</v>
      </c>
      <c r="F12" s="1702"/>
      <c r="G12" s="1702">
        <v>0</v>
      </c>
      <c r="H12" s="1843"/>
      <c r="I12" s="2447"/>
    </row>
    <row r="13" spans="1:12">
      <c r="A13" s="1703"/>
      <c r="D13" s="1727"/>
      <c r="E13" s="1675"/>
      <c r="F13" s="1727"/>
      <c r="G13" s="1727"/>
      <c r="H13" s="1727"/>
      <c r="I13" s="2447"/>
    </row>
    <row r="14" spans="1:12" s="1704" customFormat="1" ht="12.75" thickBot="1">
      <c r="A14" s="1922" t="s">
        <v>1954</v>
      </c>
      <c r="E14" s="2798">
        <v>23459.133000000038</v>
      </c>
      <c r="G14" s="1705">
        <v>13142</v>
      </c>
      <c r="I14" s="2454"/>
      <c r="J14" s="1705">
        <v>31743</v>
      </c>
    </row>
    <row r="15" spans="1:12" ht="12.75" thickTop="1">
      <c r="D15" s="1700"/>
      <c r="E15" s="1700"/>
      <c r="F15" s="1700"/>
      <c r="G15" s="1700"/>
      <c r="H15" s="1700"/>
    </row>
    <row r="16" spans="1:12">
      <c r="D16" s="1700"/>
      <c r="E16" s="1700"/>
      <c r="F16" s="1700"/>
      <c r="G16" s="1700"/>
      <c r="H16" s="1700"/>
    </row>
    <row r="17" spans="1:9" s="1918" customFormat="1">
      <c r="A17" s="1918" t="str">
        <f>BS!$A$46</f>
        <v>The annexed notes from 1 to 19 form an integral part of these condensed interim financial statements.</v>
      </c>
      <c r="D17" s="1715"/>
      <c r="E17" s="1715"/>
      <c r="F17" s="1715"/>
      <c r="G17" s="1715"/>
      <c r="H17" s="1715"/>
    </row>
    <row r="18" spans="1:9" s="1918" customFormat="1">
      <c r="D18" s="1715"/>
      <c r="E18" s="1715"/>
      <c r="F18" s="1715"/>
      <c r="G18" s="1715"/>
      <c r="H18" s="1715"/>
    </row>
    <row r="19" spans="1:9" s="1918" customFormat="1">
      <c r="D19" s="1715"/>
      <c r="E19" s="1715"/>
      <c r="F19" s="1715"/>
      <c r="G19" s="1715"/>
      <c r="H19" s="1715"/>
    </row>
    <row r="20" spans="1:9" s="1692" customFormat="1">
      <c r="A20" s="1922" t="str">
        <f>BS!$A$49</f>
        <v xml:space="preserve">                                                       For MCB-Arif Habib Savings and Investments Limited</v>
      </c>
      <c r="B20" s="1929"/>
      <c r="C20" s="1929"/>
      <c r="D20" s="1929"/>
      <c r="E20" s="1929"/>
      <c r="F20" s="1929"/>
      <c r="G20" s="1929"/>
    </row>
    <row r="21" spans="1:9" s="1692" customFormat="1">
      <c r="A21" s="1675" t="str">
        <f>BS!$A$50</f>
        <v xml:space="preserve">                                                                               (Management Company)</v>
      </c>
      <c r="B21" s="1929"/>
      <c r="C21" s="1929"/>
      <c r="D21" s="1929"/>
      <c r="E21" s="1929"/>
      <c r="F21" s="1929"/>
      <c r="G21" s="1930"/>
    </row>
    <row r="22" spans="1:9" s="1692" customFormat="1">
      <c r="A22" s="1931"/>
      <c r="B22" s="1931"/>
      <c r="C22" s="1932"/>
      <c r="D22" s="1932"/>
      <c r="E22" s="1934"/>
      <c r="F22" s="1934"/>
      <c r="G22" s="1935"/>
    </row>
    <row r="23" spans="1:9" s="1692" customFormat="1">
      <c r="A23" s="1931"/>
      <c r="B23" s="1931"/>
      <c r="C23" s="1932"/>
      <c r="D23" s="1932"/>
      <c r="E23" s="1934"/>
      <c r="F23" s="1934"/>
      <c r="G23" s="1935"/>
    </row>
    <row r="24" spans="1:9" s="1692" customFormat="1">
      <c r="A24" s="1931"/>
      <c r="B24" s="1931"/>
      <c r="C24" s="1932"/>
      <c r="D24" s="1932"/>
      <c r="E24" s="1934"/>
      <c r="F24" s="1934"/>
      <c r="G24" s="1935"/>
    </row>
    <row r="25" spans="1:9" s="1692" customFormat="1">
      <c r="A25" s="1931"/>
      <c r="B25" s="1931"/>
      <c r="C25" s="1932"/>
      <c r="D25" s="1932"/>
      <c r="E25" s="1934"/>
      <c r="F25" s="1934"/>
      <c r="G25" s="1935"/>
    </row>
    <row r="26" spans="1:9" s="1692" customFormat="1">
      <c r="A26" s="1922" t="str">
        <f>BS!$A$55</f>
        <v xml:space="preserve">           _____________________                          _____________________                          _____________________</v>
      </c>
      <c r="D26" s="1932"/>
      <c r="E26" s="1936"/>
      <c r="G26" s="1935"/>
    </row>
    <row r="27" spans="1:9" s="1692" customFormat="1">
      <c r="A27" s="1675" t="str">
        <f>BS!$A$56</f>
        <v xml:space="preserve">            Chief Executive Officer                              Chief Financial Officer                                          Director</v>
      </c>
      <c r="D27" s="1932"/>
      <c r="E27" s="1937"/>
      <c r="G27" s="1935"/>
    </row>
    <row r="28" spans="1:9" s="1724" customFormat="1">
      <c r="A28" s="1721"/>
      <c r="B28" s="1722"/>
      <c r="C28" s="1722"/>
      <c r="D28" s="1723"/>
      <c r="E28" s="1723"/>
      <c r="F28" s="1723"/>
      <c r="G28" s="1723"/>
      <c r="H28" s="1723"/>
    </row>
    <row r="29" spans="1:9" s="1734" customFormat="1">
      <c r="A29" s="1609"/>
      <c r="B29" s="1706"/>
      <c r="C29" s="1706"/>
      <c r="D29" s="1707"/>
      <c r="E29" s="1707"/>
      <c r="F29" s="1707"/>
      <c r="G29" s="1707"/>
      <c r="H29" s="1707"/>
    </row>
    <row r="30" spans="1:9" s="1734" customFormat="1">
      <c r="D30" s="1708"/>
      <c r="E30" s="1708"/>
      <c r="F30" s="1708"/>
      <c r="G30" s="1708"/>
      <c r="H30" s="1708"/>
    </row>
    <row r="31" spans="1:9">
      <c r="B31" s="1734"/>
      <c r="C31" s="1734"/>
      <c r="D31" s="1708"/>
      <c r="E31" s="1708"/>
      <c r="F31" s="1708"/>
      <c r="G31" s="1708"/>
      <c r="H31" s="1708"/>
      <c r="I31" s="1734"/>
    </row>
    <row r="63" spans="1:12" s="1926" customFormat="1">
      <c r="A63" s="1727"/>
      <c r="B63" s="1727"/>
      <c r="C63" s="1727"/>
      <c r="D63" s="1727"/>
      <c r="E63" s="1727"/>
      <c r="F63" s="1727"/>
      <c r="G63" s="1727"/>
      <c r="H63" s="1727"/>
      <c r="I63" s="1727"/>
      <c r="J63" s="2867"/>
      <c r="K63" s="2867"/>
      <c r="L63" s="2867"/>
    </row>
    <row r="67" spans="1:12" s="1926" customFormat="1">
      <c r="A67" s="1727"/>
      <c r="B67" s="1727"/>
      <c r="C67" s="1727"/>
      <c r="D67" s="1727"/>
      <c r="E67" s="1727"/>
      <c r="F67" s="1727"/>
      <c r="G67" s="1727"/>
      <c r="H67" s="1727"/>
      <c r="I67" s="1727"/>
      <c r="J67" s="2876"/>
      <c r="K67" s="2876"/>
      <c r="L67" s="2867"/>
    </row>
    <row r="68" spans="1:12" s="1926" customFormat="1">
      <c r="A68" s="1727"/>
      <c r="B68" s="1727"/>
      <c r="C68" s="1727"/>
      <c r="D68" s="1727"/>
      <c r="E68" s="1727"/>
      <c r="F68" s="1727"/>
      <c r="G68" s="1727"/>
      <c r="H68" s="1727"/>
      <c r="I68" s="1727"/>
      <c r="J68" s="2876"/>
      <c r="K68" s="2876"/>
      <c r="L68" s="2867"/>
    </row>
    <row r="69" spans="1:12" s="1926" customFormat="1">
      <c r="A69" s="1727"/>
      <c r="B69" s="1727"/>
      <c r="C69" s="1727"/>
      <c r="D69" s="1727"/>
      <c r="E69" s="1727"/>
      <c r="F69" s="1727"/>
      <c r="G69" s="1727"/>
      <c r="H69" s="1727"/>
      <c r="I69" s="1727"/>
      <c r="J69" s="1710" t="s">
        <v>745</v>
      </c>
      <c r="K69" s="1710" t="s">
        <v>746</v>
      </c>
      <c r="L69" s="1710" t="s">
        <v>745</v>
      </c>
    </row>
  </sheetData>
  <mergeCells count="6">
    <mergeCell ref="J67:K68"/>
    <mergeCell ref="L67:L68"/>
    <mergeCell ref="J63:L63"/>
    <mergeCell ref="E5:G5"/>
    <mergeCell ref="E6:G6"/>
    <mergeCell ref="E8:G8"/>
  </mergeCells>
  <printOptions horizontalCentered="1"/>
  <pageMargins left="0.75" right="0.5" top="0.5" bottom="0.4" header="0.54" footer="0.23"/>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workbookViewId="0">
      <selection activeCell="J1" sqref="J1"/>
    </sheetView>
  </sheetViews>
  <sheetFormatPr defaultRowHeight="15.75"/>
  <sheetData>
    <row r="1" spans="1:10">
      <c r="A1" t="s">
        <v>1642</v>
      </c>
      <c r="B1" t="s">
        <v>1643</v>
      </c>
      <c r="C1" t="s">
        <v>1644</v>
      </c>
      <c r="D1" t="s">
        <v>1645</v>
      </c>
      <c r="E1" t="s">
        <v>1646</v>
      </c>
      <c r="F1" t="s">
        <v>1647</v>
      </c>
      <c r="G1" t="s">
        <v>1648</v>
      </c>
      <c r="H1" t="s">
        <v>1649</v>
      </c>
      <c r="I1" t="s">
        <v>1650</v>
      </c>
      <c r="J1" t="s">
        <v>1651</v>
      </c>
    </row>
  </sheetData>
  <pageMargins left="0.7" right="0.7" top="0.7"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6" sqref="D6"/>
    </sheetView>
  </sheetViews>
  <sheetFormatPr defaultRowHeight="15.75"/>
  <sheetData>
    <row r="1" spans="1:4">
      <c r="A1" t="s">
        <v>1652</v>
      </c>
      <c r="B1" t="s">
        <v>1653</v>
      </c>
      <c r="C1" t="s">
        <v>1654</v>
      </c>
      <c r="D1" t="s">
        <v>1655</v>
      </c>
    </row>
    <row r="2" spans="1:4">
      <c r="A2" t="s">
        <v>1656</v>
      </c>
      <c r="B2" t="s">
        <v>1657</v>
      </c>
      <c r="C2" t="s">
        <v>1658</v>
      </c>
      <c r="D2" t="s">
        <v>1659</v>
      </c>
    </row>
    <row r="3" spans="1:4">
      <c r="A3" t="s">
        <v>1656</v>
      </c>
      <c r="B3" t="s">
        <v>1657</v>
      </c>
      <c r="C3" t="s">
        <v>1660</v>
      </c>
      <c r="D3" t="s">
        <v>1659</v>
      </c>
    </row>
    <row r="4" spans="1:4">
      <c r="A4" t="s">
        <v>1656</v>
      </c>
      <c r="B4" t="s">
        <v>1657</v>
      </c>
      <c r="C4" t="s">
        <v>1661</v>
      </c>
      <c r="D4" t="s">
        <v>1659</v>
      </c>
    </row>
    <row r="5" spans="1:4">
      <c r="A5" t="s">
        <v>1656</v>
      </c>
      <c r="B5" t="s">
        <v>1657</v>
      </c>
      <c r="C5" t="s">
        <v>1662</v>
      </c>
      <c r="D5" t="s">
        <v>1659</v>
      </c>
    </row>
    <row r="6" spans="1:4">
      <c r="A6" t="s">
        <v>1656</v>
      </c>
      <c r="B6" t="s">
        <v>1657</v>
      </c>
      <c r="C6" t="s">
        <v>1663</v>
      </c>
      <c r="D6" t="s">
        <v>1659</v>
      </c>
    </row>
  </sheetData>
  <pageMargins left="0.7" right="0.7" top="0.7"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activeCell="D1" sqref="D1"/>
    </sheetView>
  </sheetViews>
  <sheetFormatPr defaultRowHeight="15.75"/>
  <sheetData>
    <row r="1" spans="1:4">
      <c r="A1" t="s">
        <v>1664</v>
      </c>
      <c r="B1" t="s">
        <v>1665</v>
      </c>
      <c r="C1" t="s">
        <v>1666</v>
      </c>
      <c r="D1" t="s">
        <v>1667</v>
      </c>
    </row>
  </sheetData>
  <pageMargins left="0.7" right="0.7" top="0.7"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7"/>
  <sheetViews>
    <sheetView topLeftCell="A106" zoomScale="90" zoomScaleNormal="90" workbookViewId="0">
      <selection activeCell="C178" sqref="C178"/>
    </sheetView>
  </sheetViews>
  <sheetFormatPr defaultColWidth="9" defaultRowHeight="15.75"/>
  <cols>
    <col min="1" max="1" width="13.125" style="852" customWidth="1"/>
    <col min="2" max="2" width="81.625" style="852" customWidth="1"/>
    <col min="3" max="3" width="22" style="1541" bestFit="1" customWidth="1"/>
    <col min="4" max="4" width="21.5" style="1541" customWidth="1"/>
    <col min="5" max="5" width="13" style="852" bestFit="1" customWidth="1"/>
    <col min="6" max="6" width="11.25" style="852" bestFit="1" customWidth="1"/>
    <col min="7" max="16384" width="9" style="852"/>
  </cols>
  <sheetData>
    <row r="1" spans="1:5">
      <c r="A1" s="852" t="s">
        <v>1897</v>
      </c>
    </row>
    <row r="2" spans="1:5">
      <c r="A2" s="852" t="s">
        <v>1898</v>
      </c>
      <c r="B2" s="852" t="s">
        <v>1899</v>
      </c>
      <c r="C2" s="1541" t="s">
        <v>1900</v>
      </c>
      <c r="D2" s="1541" t="s">
        <v>1901</v>
      </c>
    </row>
    <row r="3" spans="1:5">
      <c r="A3" s="853" t="s">
        <v>1127</v>
      </c>
      <c r="B3" s="852" t="s">
        <v>12</v>
      </c>
      <c r="C3" s="1541">
        <v>189238443.24000001</v>
      </c>
      <c r="D3" s="1541">
        <v>0</v>
      </c>
      <c r="E3" s="852" t="e">
        <f>VLOOKUP(A3,'TB 18'!$A$3:$A$182,1,0)</f>
        <v>#N/A</v>
      </c>
    </row>
    <row r="4" spans="1:5">
      <c r="A4" s="853" t="s">
        <v>1128</v>
      </c>
      <c r="B4" s="852" t="s">
        <v>14</v>
      </c>
      <c r="C4" s="1541">
        <v>11609689.529999999</v>
      </c>
      <c r="D4" s="1541">
        <v>0</v>
      </c>
      <c r="E4" s="852" t="e">
        <f>VLOOKUP(A4,'TB 18'!$A$3:$A$182,1,0)</f>
        <v>#N/A</v>
      </c>
    </row>
    <row r="5" spans="1:5">
      <c r="A5" s="853" t="s">
        <v>1129</v>
      </c>
      <c r="B5" s="852" t="s">
        <v>16</v>
      </c>
      <c r="C5" s="1541">
        <v>18885.77</v>
      </c>
      <c r="D5" s="1541">
        <v>0</v>
      </c>
      <c r="E5" s="852" t="e">
        <f>VLOOKUP(A5,'TB 18'!$A$3:$A$182,1,0)</f>
        <v>#N/A</v>
      </c>
    </row>
    <row r="6" spans="1:5">
      <c r="A6" s="853" t="s">
        <v>1130</v>
      </c>
      <c r="B6" s="852" t="s">
        <v>18</v>
      </c>
      <c r="C6" s="1541">
        <v>13570408.92</v>
      </c>
      <c r="D6" s="1541">
        <v>0</v>
      </c>
      <c r="E6" s="852" t="e">
        <f>VLOOKUP(A6,'TB 18'!$A$3:$A$182,1,0)</f>
        <v>#N/A</v>
      </c>
    </row>
    <row r="7" spans="1:5">
      <c r="A7" s="853" t="s">
        <v>1131</v>
      </c>
      <c r="B7" s="852" t="s">
        <v>20</v>
      </c>
      <c r="C7" s="1541">
        <v>3814831.94</v>
      </c>
      <c r="D7" s="1541">
        <v>0</v>
      </c>
      <c r="E7" s="852" t="e">
        <f>VLOOKUP(A7,'TB 18'!$A$3:$A$182,1,0)</f>
        <v>#N/A</v>
      </c>
    </row>
    <row r="8" spans="1:5">
      <c r="A8" s="853" t="s">
        <v>1132</v>
      </c>
      <c r="B8" s="852" t="s">
        <v>22</v>
      </c>
      <c r="C8" s="1541">
        <v>2600323.4500000002</v>
      </c>
      <c r="D8" s="1541">
        <v>0</v>
      </c>
      <c r="E8" s="852" t="e">
        <f>VLOOKUP(A8,'TB 18'!$A$3:$A$182,1,0)</f>
        <v>#N/A</v>
      </c>
    </row>
    <row r="9" spans="1:5">
      <c r="A9" s="853" t="s">
        <v>1133</v>
      </c>
      <c r="B9" s="852" t="s">
        <v>24</v>
      </c>
      <c r="C9" s="1541">
        <v>11365.56</v>
      </c>
      <c r="D9" s="1541">
        <v>0</v>
      </c>
      <c r="E9" s="852" t="e">
        <f>VLOOKUP(A9,'TB 18'!$A$3:$A$182,1,0)</f>
        <v>#N/A</v>
      </c>
    </row>
    <row r="10" spans="1:5">
      <c r="A10" s="853" t="s">
        <v>1135</v>
      </c>
      <c r="B10" s="852" t="s">
        <v>28</v>
      </c>
      <c r="C10" s="1541">
        <v>2235.1799999999998</v>
      </c>
      <c r="D10" s="1541">
        <v>0</v>
      </c>
      <c r="E10" s="852" t="e">
        <f>VLOOKUP(A10,'TB 18'!$A$3:$A$182,1,0)</f>
        <v>#N/A</v>
      </c>
    </row>
    <row r="11" spans="1:5">
      <c r="A11" s="853" t="s">
        <v>1136</v>
      </c>
      <c r="B11" s="852" t="s">
        <v>30</v>
      </c>
      <c r="C11" s="1541">
        <v>5756840.0800000001</v>
      </c>
      <c r="D11" s="1541">
        <v>0</v>
      </c>
      <c r="E11" s="852" t="e">
        <f>VLOOKUP(A11,'TB 18'!$A$3:$A$182,1,0)</f>
        <v>#N/A</v>
      </c>
    </row>
    <row r="12" spans="1:5">
      <c r="A12" s="853" t="s">
        <v>1137</v>
      </c>
      <c r="B12" s="852" t="s">
        <v>32</v>
      </c>
      <c r="C12" s="1541">
        <v>4272</v>
      </c>
      <c r="D12" s="1541">
        <v>0</v>
      </c>
      <c r="E12" s="852" t="e">
        <f>VLOOKUP(A12,'TB 18'!$A$3:$A$182,1,0)</f>
        <v>#N/A</v>
      </c>
    </row>
    <row r="13" spans="1:5">
      <c r="A13" s="853" t="s">
        <v>1138</v>
      </c>
      <c r="B13" s="852" t="s">
        <v>34</v>
      </c>
      <c r="C13" s="1541">
        <v>8336.44</v>
      </c>
      <c r="D13" s="1541">
        <v>0</v>
      </c>
      <c r="E13" s="852" t="e">
        <f>VLOOKUP(A13,'TB 18'!$A$3:$A$182,1,0)</f>
        <v>#N/A</v>
      </c>
    </row>
    <row r="14" spans="1:5">
      <c r="A14" s="853" t="s">
        <v>1139</v>
      </c>
      <c r="B14" s="852" t="s">
        <v>36</v>
      </c>
      <c r="C14" s="1541">
        <v>10172.969999999999</v>
      </c>
      <c r="D14" s="1541">
        <v>0</v>
      </c>
      <c r="E14" s="852" t="e">
        <f>VLOOKUP(A14,'TB 18'!$A$3:$A$182,1,0)</f>
        <v>#N/A</v>
      </c>
    </row>
    <row r="15" spans="1:5">
      <c r="A15" s="853" t="s">
        <v>1140</v>
      </c>
      <c r="B15" s="852" t="s">
        <v>38</v>
      </c>
      <c r="C15" s="1541">
        <v>3075.4900000000002</v>
      </c>
      <c r="D15" s="1541">
        <v>0</v>
      </c>
      <c r="E15" s="852" t="e">
        <f>VLOOKUP(A15,'TB 18'!$A$3:$A$182,1,0)</f>
        <v>#N/A</v>
      </c>
    </row>
    <row r="16" spans="1:5">
      <c r="A16" s="853" t="s">
        <v>1141</v>
      </c>
      <c r="B16" s="852" t="s">
        <v>40</v>
      </c>
      <c r="C16" s="1541">
        <v>6062.42</v>
      </c>
      <c r="D16" s="1541">
        <v>0</v>
      </c>
      <c r="E16" s="852" t="e">
        <f>VLOOKUP(A16,'TB 18'!$A$3:$A$182,1,0)</f>
        <v>#N/A</v>
      </c>
    </row>
    <row r="17" spans="1:5">
      <c r="A17" s="853" t="s">
        <v>1142</v>
      </c>
      <c r="B17" s="852" t="s">
        <v>42</v>
      </c>
      <c r="C17" s="1541">
        <v>64284437.549999997</v>
      </c>
      <c r="D17" s="1541">
        <v>0</v>
      </c>
      <c r="E17" s="852" t="e">
        <f>VLOOKUP(A17,'TB 18'!$A$3:$A$182,1,0)</f>
        <v>#N/A</v>
      </c>
    </row>
    <row r="18" spans="1:5">
      <c r="A18" s="853" t="s">
        <v>1143</v>
      </c>
      <c r="B18" s="852" t="s">
        <v>44</v>
      </c>
      <c r="C18" s="1541">
        <v>11798.050000000001</v>
      </c>
      <c r="D18" s="1541">
        <v>0</v>
      </c>
      <c r="E18" s="852" t="e">
        <f>VLOOKUP(A18,'TB 18'!$A$3:$A$182,1,0)</f>
        <v>#N/A</v>
      </c>
    </row>
    <row r="19" spans="1:5">
      <c r="A19" s="853" t="s">
        <v>1144</v>
      </c>
      <c r="B19" s="852" t="s">
        <v>46</v>
      </c>
      <c r="C19" s="1541">
        <v>10507.57</v>
      </c>
      <c r="D19" s="1541">
        <v>0</v>
      </c>
      <c r="E19" s="852" t="e">
        <f>VLOOKUP(A19,'TB 18'!$A$3:$A$182,1,0)</f>
        <v>#N/A</v>
      </c>
    </row>
    <row r="20" spans="1:5">
      <c r="A20" s="853" t="s">
        <v>1145</v>
      </c>
      <c r="B20" s="852" t="s">
        <v>48</v>
      </c>
      <c r="C20" s="1541">
        <v>8258</v>
      </c>
      <c r="D20" s="1541">
        <v>0</v>
      </c>
      <c r="E20" s="852" t="e">
        <f>VLOOKUP(A20,'TB 18'!$A$3:$A$182,1,0)</f>
        <v>#N/A</v>
      </c>
    </row>
    <row r="21" spans="1:5">
      <c r="A21" s="853" t="s">
        <v>1146</v>
      </c>
      <c r="B21" s="852" t="s">
        <v>50</v>
      </c>
      <c r="C21" s="1541">
        <v>15734.87</v>
      </c>
      <c r="D21" s="1541">
        <v>0</v>
      </c>
      <c r="E21" s="852" t="e">
        <f>VLOOKUP(A21,'TB 18'!$A$3:$A$182,1,0)</f>
        <v>#N/A</v>
      </c>
    </row>
    <row r="22" spans="1:5">
      <c r="A22" s="853" t="s">
        <v>1540</v>
      </c>
      <c r="B22" s="852" t="s">
        <v>1539</v>
      </c>
      <c r="C22" s="1541">
        <v>100955327.06</v>
      </c>
      <c r="D22" s="1541">
        <v>0</v>
      </c>
      <c r="E22" s="852" t="e">
        <f>VLOOKUP(A22,'TB 18'!$A$3:$A$182,1,0)</f>
        <v>#N/A</v>
      </c>
    </row>
    <row r="23" spans="1:5">
      <c r="A23" s="853" t="s">
        <v>1543</v>
      </c>
      <c r="B23" s="852" t="s">
        <v>1542</v>
      </c>
      <c r="C23" s="1541">
        <v>1225128.05</v>
      </c>
      <c r="D23" s="1541">
        <v>0</v>
      </c>
      <c r="E23" s="852" t="e">
        <f>VLOOKUP(A23,'TB 18'!$A$3:$A$182,1,0)</f>
        <v>#N/A</v>
      </c>
    </row>
    <row r="24" spans="1:5">
      <c r="A24" s="853" t="s">
        <v>1546</v>
      </c>
      <c r="B24" s="852" t="s">
        <v>1545</v>
      </c>
      <c r="C24" s="1541">
        <v>473.13</v>
      </c>
      <c r="D24" s="1541">
        <v>0</v>
      </c>
      <c r="E24" s="852" t="e">
        <f>VLOOKUP(A24,'TB 18'!$A$3:$A$182,1,0)</f>
        <v>#N/A</v>
      </c>
    </row>
    <row r="25" spans="1:5">
      <c r="A25" s="853" t="s">
        <v>2250</v>
      </c>
      <c r="B25" s="852" t="s">
        <v>2251</v>
      </c>
      <c r="C25" s="1541">
        <v>5525.36</v>
      </c>
      <c r="D25" s="1541">
        <v>0</v>
      </c>
      <c r="E25" s="852" t="e">
        <f>VLOOKUP(A25,'TB 18'!$A$3:$A$182,1,0)</f>
        <v>#N/A</v>
      </c>
    </row>
    <row r="26" spans="1:5">
      <c r="A26" s="853" t="s">
        <v>2284</v>
      </c>
      <c r="B26" s="852" t="s">
        <v>2285</v>
      </c>
      <c r="C26" s="1541">
        <v>8801</v>
      </c>
      <c r="D26" s="1541">
        <v>0</v>
      </c>
      <c r="E26" s="852" t="e">
        <f>VLOOKUP(A26,'TB 18'!$A$3:$A$182,1,0)</f>
        <v>#N/A</v>
      </c>
    </row>
    <row r="27" spans="1:5">
      <c r="A27" s="853" t="s">
        <v>1150</v>
      </c>
      <c r="B27" s="852" t="s">
        <v>65</v>
      </c>
      <c r="C27" s="1541">
        <v>50699546.299999997</v>
      </c>
      <c r="D27" s="1541">
        <v>0</v>
      </c>
      <c r="E27" s="852" t="e">
        <f>VLOOKUP(A27,'TB 18'!$A$3:$A$182,1,0)</f>
        <v>#N/A</v>
      </c>
    </row>
    <row r="28" spans="1:5">
      <c r="A28" s="853" t="s">
        <v>1168</v>
      </c>
      <c r="B28" s="852" t="s">
        <v>119</v>
      </c>
      <c r="C28" s="1541">
        <v>110946746.56</v>
      </c>
      <c r="D28" s="1541">
        <v>0</v>
      </c>
      <c r="E28" s="852" t="e">
        <f>VLOOKUP(A28,'TB 18'!$A$3:$A$182,1,0)</f>
        <v>#N/A</v>
      </c>
    </row>
    <row r="29" spans="1:5">
      <c r="A29" s="853" t="s">
        <v>1169</v>
      </c>
      <c r="B29" s="852" t="s">
        <v>121</v>
      </c>
      <c r="C29" s="1541">
        <v>0</v>
      </c>
      <c r="D29" s="1541">
        <v>7808416.4000000004</v>
      </c>
      <c r="E29" s="852" t="e">
        <f>VLOOKUP(A29,'TB 18'!$A$3:$A$182,1,0)</f>
        <v>#N/A</v>
      </c>
    </row>
    <row r="30" spans="1:5">
      <c r="A30" s="853" t="s">
        <v>1159</v>
      </c>
      <c r="B30" s="852" t="s">
        <v>94</v>
      </c>
      <c r="C30" s="1541">
        <v>60000000</v>
      </c>
      <c r="D30" s="1541">
        <v>0</v>
      </c>
      <c r="E30" s="852" t="e">
        <f>VLOOKUP(A30,'TB 18'!$A$3:$A$182,1,0)</f>
        <v>#N/A</v>
      </c>
    </row>
    <row r="31" spans="1:5">
      <c r="A31" s="853" t="s">
        <v>1160</v>
      </c>
      <c r="B31" s="852" t="s">
        <v>96</v>
      </c>
      <c r="C31" s="1541">
        <v>0</v>
      </c>
      <c r="D31" s="1541">
        <v>114760</v>
      </c>
      <c r="E31" s="852" t="e">
        <f>VLOOKUP(A31,'TB 18'!$A$3:$A$182,1,0)</f>
        <v>#N/A</v>
      </c>
    </row>
    <row r="32" spans="1:5">
      <c r="A32" s="853" t="s">
        <v>1161</v>
      </c>
      <c r="B32" s="852" t="s">
        <v>98</v>
      </c>
      <c r="C32" s="1541">
        <v>0</v>
      </c>
      <c r="D32" s="1541">
        <v>1350749.98</v>
      </c>
      <c r="E32" s="852" t="e">
        <f>VLOOKUP(A32,'TB 18'!$A$3:$A$182,1,0)</f>
        <v>#N/A</v>
      </c>
    </row>
    <row r="33" spans="1:5">
      <c r="A33" s="853" t="s">
        <v>1163</v>
      </c>
      <c r="B33" s="852" t="s">
        <v>102</v>
      </c>
      <c r="C33" s="1541">
        <v>2742530.75</v>
      </c>
      <c r="D33" s="1541">
        <v>0</v>
      </c>
      <c r="E33" s="852" t="e">
        <f>VLOOKUP(A33,'TB 18'!$A$3:$A$182,1,0)</f>
        <v>#N/A</v>
      </c>
    </row>
    <row r="34" spans="1:5">
      <c r="A34" s="853" t="s">
        <v>1164</v>
      </c>
      <c r="B34" s="852" t="s">
        <v>104</v>
      </c>
      <c r="C34" s="1541">
        <v>0</v>
      </c>
      <c r="D34" s="1541">
        <v>2742531.08</v>
      </c>
      <c r="E34" s="852" t="e">
        <f>VLOOKUP(A34,'TB 18'!$A$3:$A$182,1,0)</f>
        <v>#N/A</v>
      </c>
    </row>
    <row r="35" spans="1:5">
      <c r="A35" s="853" t="s">
        <v>1151</v>
      </c>
      <c r="B35" s="852" t="s">
        <v>70</v>
      </c>
      <c r="C35" s="1541">
        <v>185965088.49000001</v>
      </c>
      <c r="D35" s="1541">
        <v>0</v>
      </c>
      <c r="E35" s="852" t="e">
        <f>VLOOKUP(A35,'TB 18'!$A$3:$A$182,1,0)</f>
        <v>#N/A</v>
      </c>
    </row>
    <row r="36" spans="1:5">
      <c r="A36" s="853" t="s">
        <v>1152</v>
      </c>
      <c r="B36" s="852" t="s">
        <v>72</v>
      </c>
      <c r="C36" s="1541">
        <v>0</v>
      </c>
      <c r="D36" s="1541">
        <v>5720358.4900000002</v>
      </c>
      <c r="E36" s="852" t="e">
        <f>VLOOKUP(A36,'TB 18'!$A$3:$A$182,1,0)</f>
        <v>#N/A</v>
      </c>
    </row>
    <row r="37" spans="1:5">
      <c r="A37" s="853" t="s">
        <v>1153</v>
      </c>
      <c r="B37" s="852" t="s">
        <v>74</v>
      </c>
      <c r="C37" s="1541">
        <v>0</v>
      </c>
      <c r="D37" s="1541">
        <v>378937.86</v>
      </c>
      <c r="E37" s="852" t="e">
        <f>VLOOKUP(A37,'TB 18'!$A$3:$A$182,1,0)</f>
        <v>#N/A</v>
      </c>
    </row>
    <row r="38" spans="1:5">
      <c r="A38" s="853" t="s">
        <v>1154</v>
      </c>
      <c r="B38" s="852" t="s">
        <v>76</v>
      </c>
      <c r="C38" s="1541">
        <v>2340591.9300000002</v>
      </c>
      <c r="D38" s="1541">
        <v>0</v>
      </c>
      <c r="E38" s="852" t="e">
        <f>VLOOKUP(A38,'TB 18'!$A$3:$A$182,1,0)</f>
        <v>#N/A</v>
      </c>
    </row>
    <row r="39" spans="1:5">
      <c r="A39" s="853" t="s">
        <v>1172</v>
      </c>
      <c r="B39" s="852" t="s">
        <v>136</v>
      </c>
      <c r="C39" s="1541">
        <v>7592158.0999999996</v>
      </c>
      <c r="D39" s="1541">
        <v>0</v>
      </c>
      <c r="E39" s="852" t="e">
        <f>VLOOKUP(A39,'TB 18'!$A$3:$A$182,1,0)</f>
        <v>#N/A</v>
      </c>
    </row>
    <row r="40" spans="1:5">
      <c r="A40" s="853" t="s">
        <v>2286</v>
      </c>
      <c r="B40" s="852" t="s">
        <v>2287</v>
      </c>
      <c r="C40" s="1541">
        <v>0.02</v>
      </c>
      <c r="D40" s="1541">
        <v>0</v>
      </c>
      <c r="E40" s="852" t="e">
        <f>VLOOKUP(A40,'TB 18'!$A$3:$A$182,1,0)</f>
        <v>#N/A</v>
      </c>
    </row>
    <row r="41" spans="1:5">
      <c r="A41" s="853" t="s">
        <v>2288</v>
      </c>
      <c r="B41" s="852" t="s">
        <v>2289</v>
      </c>
      <c r="C41" s="1541">
        <v>0</v>
      </c>
      <c r="D41" s="1541">
        <v>0.01</v>
      </c>
      <c r="E41" s="852" t="e">
        <f>VLOOKUP(A41,'TB 18'!$A$3:$A$182,1,0)</f>
        <v>#N/A</v>
      </c>
    </row>
    <row r="42" spans="1:5">
      <c r="A42" s="853" t="s">
        <v>1147</v>
      </c>
      <c r="B42" s="852" t="s">
        <v>55</v>
      </c>
      <c r="C42" s="1541">
        <v>0</v>
      </c>
      <c r="D42" s="1541">
        <v>0.3</v>
      </c>
      <c r="E42" s="852" t="e">
        <f>VLOOKUP(A42,'TB 18'!$A$3:$A$182,1,0)</f>
        <v>#N/A</v>
      </c>
    </row>
    <row r="43" spans="1:5">
      <c r="A43" s="853" t="s">
        <v>1148</v>
      </c>
      <c r="B43" s="852" t="s">
        <v>57</v>
      </c>
      <c r="C43" s="1541">
        <v>0.70000000000000007</v>
      </c>
      <c r="D43" s="1541">
        <v>0</v>
      </c>
      <c r="E43" s="852" t="e">
        <f>VLOOKUP(A43,'TB 18'!$A$3:$A$182,1,0)</f>
        <v>#N/A</v>
      </c>
    </row>
    <row r="44" spans="1:5">
      <c r="A44" s="853" t="s">
        <v>1155</v>
      </c>
      <c r="B44" s="852" t="s">
        <v>78</v>
      </c>
      <c r="C44" s="1541">
        <v>85162266.230000004</v>
      </c>
      <c r="D44" s="1541">
        <v>0</v>
      </c>
      <c r="E44" s="852" t="e">
        <f>VLOOKUP(A44,'TB 18'!$A$3:$A$182,1,0)</f>
        <v>#N/A</v>
      </c>
    </row>
    <row r="45" spans="1:5">
      <c r="A45" s="853" t="s">
        <v>1188</v>
      </c>
      <c r="B45" s="852" t="s">
        <v>177</v>
      </c>
      <c r="C45" s="1541">
        <v>34685081</v>
      </c>
      <c r="D45" s="1541">
        <v>0</v>
      </c>
      <c r="E45" s="852" t="e">
        <f>VLOOKUP(A45,'TB 18'!$A$3:$A$182,1,0)</f>
        <v>#N/A</v>
      </c>
    </row>
    <row r="46" spans="1:5">
      <c r="A46" s="853" t="s">
        <v>1156</v>
      </c>
      <c r="B46" s="852" t="s">
        <v>80</v>
      </c>
      <c r="C46" s="1541">
        <v>0</v>
      </c>
      <c r="D46" s="1541">
        <v>74910000</v>
      </c>
      <c r="E46" s="852" t="e">
        <f>VLOOKUP(A46,'TB 18'!$A$3:$A$182,1,0)</f>
        <v>#N/A</v>
      </c>
    </row>
    <row r="47" spans="1:5">
      <c r="A47" s="853" t="s">
        <v>1157</v>
      </c>
      <c r="B47" s="852" t="s">
        <v>82</v>
      </c>
      <c r="C47" s="1541">
        <v>0</v>
      </c>
      <c r="D47" s="1541">
        <v>10252266</v>
      </c>
      <c r="E47" s="852" t="e">
        <f>VLOOKUP(A47,'TB 18'!$A$3:$A$182,1,0)</f>
        <v>#N/A</v>
      </c>
    </row>
    <row r="48" spans="1:5">
      <c r="A48" s="853" t="s">
        <v>1158</v>
      </c>
      <c r="B48" s="852" t="s">
        <v>84</v>
      </c>
      <c r="C48" s="1541">
        <v>0</v>
      </c>
      <c r="D48" s="1541">
        <v>0.23</v>
      </c>
      <c r="E48" s="852" t="e">
        <f>VLOOKUP(A48,'TB 18'!$A$3:$A$182,1,0)</f>
        <v>#N/A</v>
      </c>
    </row>
    <row r="49" spans="1:5">
      <c r="A49" s="853" t="s">
        <v>1189</v>
      </c>
      <c r="B49" s="852" t="s">
        <v>179</v>
      </c>
      <c r="C49" s="1541">
        <v>0</v>
      </c>
      <c r="D49" s="1541">
        <v>34685081</v>
      </c>
      <c r="E49" s="852" t="e">
        <f>VLOOKUP(A49,'TB 18'!$A$3:$A$182,1,0)</f>
        <v>#N/A</v>
      </c>
    </row>
    <row r="50" spans="1:5">
      <c r="A50" s="853" t="s">
        <v>1174</v>
      </c>
      <c r="B50" s="852" t="s">
        <v>146</v>
      </c>
      <c r="C50" s="1541">
        <v>619449.68000000005</v>
      </c>
      <c r="D50" s="1541">
        <v>0</v>
      </c>
      <c r="E50" s="852" t="e">
        <f>VLOOKUP(A50,'TB 18'!$A$3:$A$182,1,0)</f>
        <v>#N/A</v>
      </c>
    </row>
    <row r="51" spans="1:5">
      <c r="A51" s="853" t="s">
        <v>1175</v>
      </c>
      <c r="B51" s="852" t="s">
        <v>148</v>
      </c>
      <c r="C51" s="1541">
        <v>58755.08</v>
      </c>
      <c r="D51" s="1541">
        <v>0</v>
      </c>
      <c r="E51" s="852" t="e">
        <f>VLOOKUP(A51,'TB 18'!$A$3:$A$182,1,0)</f>
        <v>#N/A</v>
      </c>
    </row>
    <row r="52" spans="1:5">
      <c r="A52" s="853" t="s">
        <v>1176</v>
      </c>
      <c r="B52" s="852" t="s">
        <v>150</v>
      </c>
      <c r="C52" s="1541">
        <v>4.7300000000000004</v>
      </c>
      <c r="D52" s="1541">
        <v>0</v>
      </c>
      <c r="E52" s="852" t="e">
        <f>VLOOKUP(A52,'TB 18'!$A$3:$A$182,1,0)</f>
        <v>#N/A</v>
      </c>
    </row>
    <row r="53" spans="1:5">
      <c r="A53" s="853" t="s">
        <v>1177</v>
      </c>
      <c r="B53" s="852" t="s">
        <v>152</v>
      </c>
      <c r="C53" s="1541">
        <v>102703.74</v>
      </c>
      <c r="D53" s="1541">
        <v>0</v>
      </c>
      <c r="E53" s="852" t="e">
        <f>VLOOKUP(A53,'TB 18'!$A$3:$A$182,1,0)</f>
        <v>#N/A</v>
      </c>
    </row>
    <row r="54" spans="1:5">
      <c r="A54" s="853" t="s">
        <v>1178</v>
      </c>
      <c r="B54" s="852" t="s">
        <v>154</v>
      </c>
      <c r="C54" s="1541">
        <v>21923.670000000002</v>
      </c>
      <c r="D54" s="1541">
        <v>0</v>
      </c>
      <c r="E54" s="852" t="e">
        <f>VLOOKUP(A54,'TB 18'!$A$3:$A$182,1,0)</f>
        <v>#N/A</v>
      </c>
    </row>
    <row r="55" spans="1:5">
      <c r="A55" s="853" t="s">
        <v>1179</v>
      </c>
      <c r="B55" s="852" t="s">
        <v>156</v>
      </c>
      <c r="C55" s="1541">
        <v>2.8000000000000003</v>
      </c>
      <c r="D55" s="1541">
        <v>0</v>
      </c>
      <c r="E55" s="852" t="e">
        <f>VLOOKUP(A55,'TB 18'!$A$3:$A$182,1,0)</f>
        <v>#N/A</v>
      </c>
    </row>
    <row r="56" spans="1:5">
      <c r="A56" s="853" t="s">
        <v>1180</v>
      </c>
      <c r="B56" s="852" t="s">
        <v>158</v>
      </c>
      <c r="C56" s="1541">
        <v>2.2600000000000002</v>
      </c>
      <c r="D56" s="1541">
        <v>0</v>
      </c>
    </row>
    <row r="57" spans="1:5">
      <c r="A57" s="853" t="s">
        <v>1181</v>
      </c>
      <c r="B57" s="852" t="s">
        <v>160</v>
      </c>
      <c r="C57" s="1541">
        <v>8.8800000000000008</v>
      </c>
      <c r="D57" s="1541">
        <v>0</v>
      </c>
      <c r="E57" s="852" t="e">
        <f>VLOOKUP(A57,'TB 18'!$A$3:$A$182,1,0)</f>
        <v>#N/A</v>
      </c>
    </row>
    <row r="58" spans="1:5">
      <c r="A58" s="853" t="s">
        <v>1974</v>
      </c>
      <c r="B58" s="852" t="s">
        <v>168</v>
      </c>
      <c r="C58" s="1541">
        <v>2.75</v>
      </c>
      <c r="D58" s="1541">
        <v>0</v>
      </c>
      <c r="E58" s="852" t="e">
        <f>VLOOKUP(A58,'TB 18'!$A$3:$A$182,1,0)</f>
        <v>#N/A</v>
      </c>
    </row>
    <row r="59" spans="1:5">
      <c r="A59" s="853" t="s">
        <v>1182</v>
      </c>
      <c r="B59" s="852" t="s">
        <v>162</v>
      </c>
      <c r="C59" s="1541">
        <v>12.39</v>
      </c>
      <c r="D59" s="1541">
        <v>0</v>
      </c>
      <c r="E59" s="852" t="e">
        <f>VLOOKUP(A59,'TB 18'!$A$3:$A$182,1,0)</f>
        <v>#N/A</v>
      </c>
    </row>
    <row r="60" spans="1:5">
      <c r="A60" s="853" t="s">
        <v>1183</v>
      </c>
      <c r="B60" s="852" t="s">
        <v>164</v>
      </c>
      <c r="C60" s="1541">
        <v>268041.48</v>
      </c>
      <c r="D60" s="1541">
        <v>0</v>
      </c>
    </row>
    <row r="61" spans="1:5">
      <c r="A61" s="853" t="s">
        <v>1184</v>
      </c>
      <c r="B61" s="852" t="s">
        <v>166</v>
      </c>
      <c r="C61" s="1541">
        <v>1.9000000000000001</v>
      </c>
      <c r="D61" s="1541">
        <v>0</v>
      </c>
      <c r="E61" s="852" t="e">
        <f>VLOOKUP(A61,'TB 18'!$A$3:$A$182,1,0)</f>
        <v>#N/A</v>
      </c>
    </row>
    <row r="62" spans="1:5">
      <c r="A62" s="853" t="s">
        <v>1549</v>
      </c>
      <c r="B62" s="852" t="s">
        <v>1548</v>
      </c>
      <c r="C62" s="1541">
        <v>0</v>
      </c>
      <c r="D62" s="1541">
        <v>0.27</v>
      </c>
      <c r="E62" s="852" t="e">
        <f>VLOOKUP(A62,'TB 18'!$A$3:$A$182,1,0)</f>
        <v>#N/A</v>
      </c>
    </row>
    <row r="63" spans="1:5">
      <c r="A63" s="853" t="s">
        <v>2290</v>
      </c>
      <c r="B63" s="852" t="s">
        <v>2291</v>
      </c>
      <c r="C63" s="1541">
        <v>18164.47</v>
      </c>
      <c r="D63" s="1541">
        <v>0</v>
      </c>
      <c r="E63" s="852" t="e">
        <f>VLOOKUP(A63,'TB 18'!$A$3:$A$182,1,0)</f>
        <v>#N/A</v>
      </c>
    </row>
    <row r="64" spans="1:5">
      <c r="A64" s="853" t="s">
        <v>1552</v>
      </c>
      <c r="B64" s="852" t="s">
        <v>1551</v>
      </c>
      <c r="C64" s="1541">
        <v>690801.3</v>
      </c>
      <c r="D64" s="1541">
        <v>0</v>
      </c>
      <c r="E64" s="852" t="e">
        <f>VLOOKUP(A64,'TB 18'!$A$3:$A$182,1,0)</f>
        <v>#N/A</v>
      </c>
    </row>
    <row r="65" spans="1:5">
      <c r="A65" s="853" t="s">
        <v>1555</v>
      </c>
      <c r="B65" s="852" t="s">
        <v>1554</v>
      </c>
      <c r="C65" s="1541">
        <v>4.1399999999999997</v>
      </c>
      <c r="D65" s="1541">
        <v>0</v>
      </c>
      <c r="E65" s="852" t="e">
        <f>VLOOKUP(A65,'TB 18'!$A$3:$A$182,1,0)</f>
        <v>#N/A</v>
      </c>
    </row>
    <row r="66" spans="1:5">
      <c r="A66" s="853" t="s">
        <v>2292</v>
      </c>
      <c r="B66" s="852" t="s">
        <v>2293</v>
      </c>
      <c r="C66" s="1541">
        <v>0</v>
      </c>
      <c r="D66" s="1541">
        <v>0.27</v>
      </c>
      <c r="E66" s="852" t="e">
        <f>VLOOKUP(A66,'TB 18'!$A$3:$A$182,1,0)</f>
        <v>#N/A</v>
      </c>
    </row>
    <row r="67" spans="1:5">
      <c r="A67" s="853" t="s">
        <v>1185</v>
      </c>
      <c r="B67" s="852" t="s">
        <v>168</v>
      </c>
      <c r="C67" s="1541">
        <v>8.58</v>
      </c>
      <c r="D67" s="1541">
        <v>0</v>
      </c>
      <c r="E67" s="852" t="e">
        <f>VLOOKUP(A67,'TB 18'!$A$3:$A$182,1,0)</f>
        <v>#N/A</v>
      </c>
    </row>
    <row r="68" spans="1:5">
      <c r="A68" s="853" t="s">
        <v>1190</v>
      </c>
      <c r="B68" s="852" t="s">
        <v>181</v>
      </c>
      <c r="C68" s="1541">
        <v>2441124.58</v>
      </c>
      <c r="D68" s="1541">
        <v>0</v>
      </c>
      <c r="E68" s="852" t="e">
        <f>VLOOKUP(A68,'TB 18'!$A$3:$A$182,1,0)</f>
        <v>#N/A</v>
      </c>
    </row>
    <row r="69" spans="1:5">
      <c r="A69" s="853" t="s">
        <v>1186</v>
      </c>
      <c r="B69" s="852" t="s">
        <v>170</v>
      </c>
      <c r="C69" s="1541">
        <v>2</v>
      </c>
      <c r="D69" s="1541">
        <v>0</v>
      </c>
      <c r="E69" s="852" t="e">
        <f>VLOOKUP(A69,'TB 18'!$A$3:$A$182,1,0)</f>
        <v>#N/A</v>
      </c>
    </row>
    <row r="70" spans="1:5">
      <c r="A70" s="853" t="s">
        <v>1192</v>
      </c>
      <c r="B70" s="852" t="s">
        <v>187</v>
      </c>
      <c r="C70" s="1541">
        <v>0</v>
      </c>
      <c r="D70" s="1541">
        <v>0.66</v>
      </c>
      <c r="E70" s="852" t="e">
        <f>VLOOKUP(A70,'TB 18'!$A$3:$A$182,1,0)</f>
        <v>#N/A</v>
      </c>
    </row>
    <row r="71" spans="1:5">
      <c r="A71" s="853" t="s">
        <v>2294</v>
      </c>
      <c r="B71" s="852" t="s">
        <v>2295</v>
      </c>
      <c r="C71" s="1541">
        <v>0.01</v>
      </c>
      <c r="D71" s="1541">
        <v>0</v>
      </c>
      <c r="E71" s="852" t="e">
        <f>VLOOKUP(A71,'TB 18'!$A$3:$A$182,1,0)</f>
        <v>#N/A</v>
      </c>
    </row>
    <row r="72" spans="1:5">
      <c r="A72" s="853" t="s">
        <v>1173</v>
      </c>
      <c r="B72" s="852" t="s">
        <v>141</v>
      </c>
      <c r="C72" s="1541">
        <v>340000</v>
      </c>
      <c r="D72" s="1541">
        <v>0</v>
      </c>
      <c r="E72" s="852" t="e">
        <f>VLOOKUP(A72,'TB 18'!$A$3:$A$182,1,0)</f>
        <v>#N/A</v>
      </c>
    </row>
    <row r="73" spans="1:5">
      <c r="A73" s="853" t="s">
        <v>1205</v>
      </c>
      <c r="B73" s="852" t="s">
        <v>244</v>
      </c>
      <c r="C73" s="1541">
        <v>32314362.66</v>
      </c>
      <c r="D73" s="1541">
        <v>0</v>
      </c>
      <c r="E73" s="852" t="e">
        <f>VLOOKUP(A73,'TB 18'!$A$3:$A$182,1,0)</f>
        <v>#N/A</v>
      </c>
    </row>
    <row r="74" spans="1:5">
      <c r="A74" s="853" t="s">
        <v>1206</v>
      </c>
      <c r="B74" s="852" t="s">
        <v>246</v>
      </c>
      <c r="C74" s="1541">
        <v>0.77</v>
      </c>
      <c r="D74" s="1541">
        <v>0</v>
      </c>
      <c r="E74" s="852" t="e">
        <f>VLOOKUP(A74,'TB 18'!$A$3:$A$182,1,0)</f>
        <v>#N/A</v>
      </c>
    </row>
    <row r="75" spans="1:5">
      <c r="A75" s="853" t="s">
        <v>2296</v>
      </c>
      <c r="B75" s="852" t="s">
        <v>2297</v>
      </c>
      <c r="C75" s="1541">
        <v>0</v>
      </c>
      <c r="D75" s="1541">
        <v>0.45</v>
      </c>
      <c r="E75" s="852" t="e">
        <f>VLOOKUP(A75,'TB 18'!$A$3:$A$182,1,0)</f>
        <v>#N/A</v>
      </c>
    </row>
    <row r="76" spans="1:5">
      <c r="A76" s="853" t="s">
        <v>1197</v>
      </c>
      <c r="B76" s="852" t="s">
        <v>209</v>
      </c>
      <c r="C76" s="1541">
        <v>222954.11000000002</v>
      </c>
      <c r="D76" s="1541">
        <v>0</v>
      </c>
      <c r="E76" s="852" t="e">
        <f>VLOOKUP(A76,'TB 18'!$A$3:$A$182,1,0)</f>
        <v>#N/A</v>
      </c>
    </row>
    <row r="77" spans="1:5">
      <c r="A77" s="853" t="s">
        <v>1198</v>
      </c>
      <c r="B77" s="852" t="s">
        <v>211</v>
      </c>
      <c r="C77" s="1541">
        <v>20519</v>
      </c>
      <c r="D77" s="1541">
        <v>0</v>
      </c>
      <c r="E77" s="852" t="e">
        <f>VLOOKUP(A77,'TB 18'!$A$3:$A$182,1,0)</f>
        <v>#N/A</v>
      </c>
    </row>
    <row r="78" spans="1:5">
      <c r="A78" s="853" t="s">
        <v>1201</v>
      </c>
      <c r="B78" s="852" t="s">
        <v>220</v>
      </c>
      <c r="C78" s="1541">
        <v>2500000</v>
      </c>
      <c r="D78" s="1541">
        <v>0</v>
      </c>
      <c r="E78" s="852" t="e">
        <f>VLOOKUP(A78,'TB 18'!$A$3:$A$182,1,0)</f>
        <v>#N/A</v>
      </c>
    </row>
    <row r="79" spans="1:5">
      <c r="A79" s="853" t="s">
        <v>1202</v>
      </c>
      <c r="B79" s="852" t="s">
        <v>225</v>
      </c>
      <c r="C79" s="1541">
        <v>200000</v>
      </c>
      <c r="D79" s="1541">
        <v>0</v>
      </c>
      <c r="E79" s="852" t="e">
        <f>VLOOKUP(A79,'TB 18'!$A$3:$A$182,1,0)</f>
        <v>#N/A</v>
      </c>
    </row>
    <row r="80" spans="1:5" s="2427" customFormat="1">
      <c r="A80" s="853" t="s">
        <v>1203</v>
      </c>
      <c r="B80" s="852" t="s">
        <v>234</v>
      </c>
      <c r="C80" s="1541">
        <v>25958.36</v>
      </c>
      <c r="D80" s="1541">
        <v>0</v>
      </c>
      <c r="E80" s="2427" t="e">
        <f>VLOOKUP(A80,'TB 18'!$A$3:$A$182,1,0)</f>
        <v>#N/A</v>
      </c>
    </row>
    <row r="81" spans="1:7" s="2427" customFormat="1">
      <c r="A81" s="853" t="s">
        <v>1215</v>
      </c>
      <c r="B81" s="852" t="s">
        <v>289</v>
      </c>
      <c r="C81" s="1541">
        <v>0.84</v>
      </c>
      <c r="D81" s="1541">
        <v>0</v>
      </c>
      <c r="E81" s="2427" t="e">
        <f>VLOOKUP(A81,'TB 18'!$A$3:$A$182,1,0)</f>
        <v>#N/A</v>
      </c>
    </row>
    <row r="82" spans="1:7" s="2427" customFormat="1">
      <c r="A82" s="853" t="s">
        <v>1195</v>
      </c>
      <c r="B82" s="852" t="s">
        <v>202</v>
      </c>
      <c r="C82" s="1541">
        <v>101207.84</v>
      </c>
      <c r="D82" s="1541">
        <v>0</v>
      </c>
      <c r="E82" s="2427" t="e">
        <f>VLOOKUP(A82,'TB 18'!$A$3:$A$182,1,0)</f>
        <v>#N/A</v>
      </c>
    </row>
    <row r="83" spans="1:7" s="2427" customFormat="1">
      <c r="A83" s="853" t="s">
        <v>1902</v>
      </c>
      <c r="B83" s="852" t="s">
        <v>1903</v>
      </c>
      <c r="C83" s="1541">
        <v>21038.95</v>
      </c>
      <c r="D83" s="1541">
        <v>0</v>
      </c>
      <c r="E83" s="2427" t="e">
        <f>VLOOKUP(A83,'TB 18'!$A$3:$A$182,1,0)</f>
        <v>#N/A</v>
      </c>
    </row>
    <row r="84" spans="1:7" s="2427" customFormat="1">
      <c r="A84" s="853" t="s">
        <v>1204</v>
      </c>
      <c r="B84" s="852" t="s">
        <v>239</v>
      </c>
      <c r="C84" s="1541">
        <v>20602.21</v>
      </c>
      <c r="D84" s="1541">
        <v>0</v>
      </c>
      <c r="E84" s="2427" t="e">
        <f>VLOOKUP(A84,'TB 18'!$A$3:$A$182,1,0)</f>
        <v>#N/A</v>
      </c>
    </row>
    <row r="85" spans="1:7" s="2427" customFormat="1">
      <c r="A85" s="853" t="s">
        <v>1199</v>
      </c>
      <c r="B85" s="852" t="s">
        <v>213</v>
      </c>
      <c r="C85" s="1541">
        <v>49977</v>
      </c>
      <c r="D85" s="1541">
        <v>0</v>
      </c>
      <c r="E85" s="2427" t="e">
        <f>VLOOKUP(A85,'TB 18'!$A$3:$A$182,1,0)</f>
        <v>#N/A</v>
      </c>
      <c r="F85" s="2431"/>
    </row>
    <row r="86" spans="1:7" s="2427" customFormat="1">
      <c r="A86" s="853" t="s">
        <v>1194</v>
      </c>
      <c r="B86" s="852" t="s">
        <v>197</v>
      </c>
      <c r="C86" s="1541">
        <v>289231</v>
      </c>
      <c r="D86" s="1541">
        <v>0</v>
      </c>
      <c r="E86" s="2427" t="e">
        <f>VLOOKUP(A86,'TB 18'!$A$3:$A$182,1,0)</f>
        <v>#N/A</v>
      </c>
      <c r="F86" s="2431"/>
    </row>
    <row r="87" spans="1:7" s="2427" customFormat="1">
      <c r="A87" s="853" t="s">
        <v>1558</v>
      </c>
      <c r="B87" s="852" t="s">
        <v>1557</v>
      </c>
      <c r="C87" s="1541">
        <v>104999.78</v>
      </c>
      <c r="D87" s="1541">
        <v>0</v>
      </c>
      <c r="E87" s="2427" t="e">
        <f>VLOOKUP(A87,'TB 18'!$A$3:$A$182,1,0)</f>
        <v>#N/A</v>
      </c>
      <c r="F87" s="2431"/>
    </row>
    <row r="88" spans="1:7" s="2427" customFormat="1">
      <c r="A88" s="853" t="s">
        <v>1561</v>
      </c>
      <c r="B88" s="852" t="s">
        <v>1560</v>
      </c>
      <c r="C88" s="1541">
        <v>54505.770000000004</v>
      </c>
      <c r="D88" s="1541">
        <v>0</v>
      </c>
      <c r="E88" s="2427" t="e">
        <f>VLOOKUP(A88,'TB 18'!$A$3:$A$182,1,0)</f>
        <v>#N/A</v>
      </c>
    </row>
    <row r="89" spans="1:7" s="2427" customFormat="1">
      <c r="A89" s="853" t="s">
        <v>1234</v>
      </c>
      <c r="B89" s="852" t="s">
        <v>350</v>
      </c>
      <c r="C89" s="1541">
        <v>0</v>
      </c>
      <c r="D89" s="1541">
        <v>26375882.359999999</v>
      </c>
      <c r="E89" s="2427" t="e">
        <f>VLOOKUP(A89,'TB 18'!$A$3:$A$182,1,0)</f>
        <v>#N/A</v>
      </c>
    </row>
    <row r="90" spans="1:7" s="2427" customFormat="1">
      <c r="A90" s="853" t="s">
        <v>1235</v>
      </c>
      <c r="B90" s="852" t="s">
        <v>352</v>
      </c>
      <c r="C90" s="1541">
        <v>55760632.270000003</v>
      </c>
      <c r="D90" s="1541">
        <v>0</v>
      </c>
      <c r="E90" s="2427" t="e">
        <f>VLOOKUP(A90,'TB 18'!$A$3:$A$182,1,0)</f>
        <v>#N/A</v>
      </c>
    </row>
    <row r="91" spans="1:7" s="2427" customFormat="1">
      <c r="A91" s="853" t="s">
        <v>1236</v>
      </c>
      <c r="B91" s="852" t="s">
        <v>354</v>
      </c>
      <c r="C91" s="1541">
        <v>0</v>
      </c>
      <c r="D91" s="1541">
        <v>254691222.40000001</v>
      </c>
      <c r="E91" s="2427" t="e">
        <f>VLOOKUP(A91,'TB 18'!$A$3:$A$182,1,0)</f>
        <v>#N/A</v>
      </c>
    </row>
    <row r="92" spans="1:7" s="2427" customFormat="1">
      <c r="A92" s="853" t="s">
        <v>1237</v>
      </c>
      <c r="B92" s="852" t="s">
        <v>356</v>
      </c>
      <c r="C92" s="1541">
        <v>161196141.56999999</v>
      </c>
      <c r="D92" s="1541">
        <v>0</v>
      </c>
      <c r="E92" s="2427" t="e">
        <f>VLOOKUP(A92,'TB 18'!$A$3:$A$182,1,0)</f>
        <v>#N/A</v>
      </c>
    </row>
    <row r="93" spans="1:7" s="2427" customFormat="1">
      <c r="A93" s="853" t="s">
        <v>1240</v>
      </c>
      <c r="B93" s="852" t="s">
        <v>365</v>
      </c>
      <c r="C93" s="1541">
        <v>1407090.72</v>
      </c>
      <c r="D93" s="1541">
        <v>0</v>
      </c>
      <c r="E93" s="2427" t="e">
        <f>VLOOKUP(A93,'TB 18'!$A$3:$A$182,1,0)</f>
        <v>#N/A</v>
      </c>
    </row>
    <row r="94" spans="1:7" s="2427" customFormat="1">
      <c r="A94" s="853" t="s">
        <v>1238</v>
      </c>
      <c r="B94" s="852" t="s">
        <v>358</v>
      </c>
      <c r="C94" s="1541">
        <v>4782102.46</v>
      </c>
      <c r="D94" s="1541">
        <v>0</v>
      </c>
      <c r="E94" s="2427" t="e">
        <f>VLOOKUP(A94,'TB 18'!$A$3:$A$182,1,0)</f>
        <v>#N/A</v>
      </c>
    </row>
    <row r="95" spans="1:7" s="2427" customFormat="1">
      <c r="A95" s="853" t="s">
        <v>1239</v>
      </c>
      <c r="B95" s="852" t="s">
        <v>360</v>
      </c>
      <c r="C95" s="1541">
        <v>0</v>
      </c>
      <c r="D95" s="1541">
        <v>706834632.13</v>
      </c>
      <c r="E95" s="2427" t="e">
        <f>VLOOKUP(A95,'TB 18'!$A$3:$A$182,1,0)</f>
        <v>#N/A</v>
      </c>
    </row>
    <row r="96" spans="1:7" s="2427" customFormat="1">
      <c r="A96" s="853" t="s">
        <v>1207</v>
      </c>
      <c r="B96" s="852" t="s">
        <v>255</v>
      </c>
      <c r="C96" s="1541">
        <v>0</v>
      </c>
      <c r="D96" s="1541">
        <v>589910.23</v>
      </c>
      <c r="E96" s="2427" t="e">
        <f>VLOOKUP(A96,'TB 18'!$A$3:$A$182,1,0)</f>
        <v>#N/A</v>
      </c>
      <c r="F96" s="2423">
        <f>D96-C97</f>
        <v>589910.23</v>
      </c>
      <c r="G96" s="2431"/>
    </row>
    <row r="97" spans="1:5" s="2427" customFormat="1">
      <c r="A97" s="853" t="s">
        <v>1216</v>
      </c>
      <c r="B97" s="852" t="s">
        <v>290</v>
      </c>
      <c r="C97" s="1541">
        <v>0</v>
      </c>
      <c r="D97" s="1541">
        <v>22.59</v>
      </c>
      <c r="E97" s="2427" t="e">
        <f>VLOOKUP(A97,'TB 18'!$A$3:$A$182,1,0)</f>
        <v>#N/A</v>
      </c>
    </row>
    <row r="98" spans="1:5" s="2427" customFormat="1">
      <c r="A98" s="853" t="s">
        <v>2298</v>
      </c>
      <c r="B98" s="852" t="s">
        <v>2299</v>
      </c>
      <c r="C98" s="1541">
        <v>0</v>
      </c>
      <c r="D98" s="1541">
        <v>16144.390000000001</v>
      </c>
      <c r="E98" s="2427" t="e">
        <f>VLOOKUP(A98,'TB 18'!$A$3:$A$182,1,0)</f>
        <v>#N/A</v>
      </c>
    </row>
    <row r="99" spans="1:5">
      <c r="A99" s="853" t="s">
        <v>1208</v>
      </c>
      <c r="B99" s="852" t="s">
        <v>257</v>
      </c>
      <c r="C99" s="1541">
        <v>0</v>
      </c>
      <c r="D99" s="1541">
        <v>76143.98</v>
      </c>
      <c r="E99" s="852" t="e">
        <f>VLOOKUP(A99,'TB 18'!$A$3:$A$182,1,0)</f>
        <v>#N/A</v>
      </c>
    </row>
    <row r="100" spans="1:5">
      <c r="A100" s="853" t="s">
        <v>1217</v>
      </c>
      <c r="B100" s="852" t="s">
        <v>292</v>
      </c>
      <c r="C100" s="1541">
        <v>0</v>
      </c>
      <c r="D100" s="1541">
        <v>16589808.17</v>
      </c>
      <c r="E100" s="852" t="e">
        <f>VLOOKUP(A100,'TB 18'!$A$3:$A$182,1,0)</f>
        <v>#N/A</v>
      </c>
    </row>
    <row r="101" spans="1:5">
      <c r="A101" s="853" t="s">
        <v>1218</v>
      </c>
      <c r="B101" s="852" t="s">
        <v>293</v>
      </c>
      <c r="C101" s="1541">
        <v>0</v>
      </c>
      <c r="D101" s="1541">
        <v>5838.38</v>
      </c>
      <c r="E101" s="852" t="e">
        <f>VLOOKUP(A101,'TB 18'!$A$3:$A$182,1,0)</f>
        <v>#N/A</v>
      </c>
    </row>
    <row r="102" spans="1:5">
      <c r="A102" s="853" t="s">
        <v>1219</v>
      </c>
      <c r="B102" s="852" t="s">
        <v>295</v>
      </c>
      <c r="C102" s="1541">
        <v>0</v>
      </c>
      <c r="D102" s="1541">
        <v>4746222</v>
      </c>
      <c r="E102" s="852" t="e">
        <f>VLOOKUP(A102,'TB 18'!$A$3:$A$182,1,0)</f>
        <v>#N/A</v>
      </c>
    </row>
    <row r="103" spans="1:5">
      <c r="A103" s="853" t="s">
        <v>1211</v>
      </c>
      <c r="B103" s="852" t="s">
        <v>265</v>
      </c>
      <c r="C103" s="1541">
        <v>0</v>
      </c>
      <c r="D103" s="1541">
        <v>41940.090000000004</v>
      </c>
      <c r="E103" s="852" t="e">
        <f>VLOOKUP(A103,'TB 18'!$A$3:$A$182,1,0)</f>
        <v>#N/A</v>
      </c>
    </row>
    <row r="104" spans="1:5">
      <c r="A104" s="853" t="s">
        <v>1212</v>
      </c>
      <c r="B104" s="852" t="s">
        <v>270</v>
      </c>
      <c r="C104" s="1541">
        <v>0</v>
      </c>
      <c r="D104" s="1541">
        <v>34944.590000000004</v>
      </c>
      <c r="E104" s="852" t="e">
        <f>VLOOKUP(A104,'TB 18'!$A$3:$A$182,1,0)</f>
        <v>#N/A</v>
      </c>
    </row>
    <row r="105" spans="1:5">
      <c r="A105" s="853" t="s">
        <v>1214</v>
      </c>
      <c r="B105" s="852" t="s">
        <v>281</v>
      </c>
      <c r="C105" s="1541">
        <v>0</v>
      </c>
      <c r="D105" s="1541">
        <v>16138603.41</v>
      </c>
      <c r="E105" s="852" t="e">
        <f>VLOOKUP(A105,'TB 18'!$A$3:$A$182,1,0)</f>
        <v>#N/A</v>
      </c>
    </row>
    <row r="106" spans="1:5">
      <c r="A106" s="853" t="s">
        <v>1213</v>
      </c>
      <c r="B106" s="852" t="s">
        <v>275</v>
      </c>
      <c r="C106" s="1541">
        <v>0</v>
      </c>
      <c r="D106" s="1541">
        <v>2078661.67</v>
      </c>
      <c r="E106" s="852" t="e">
        <f>VLOOKUP(A106,'TB 18'!$A$3:$A$182,1,0)</f>
        <v>#N/A</v>
      </c>
    </row>
    <row r="107" spans="1:5">
      <c r="A107" s="853" t="s">
        <v>1220</v>
      </c>
      <c r="B107" s="852" t="s">
        <v>297</v>
      </c>
      <c r="C107" s="1541">
        <v>0</v>
      </c>
      <c r="D107" s="1541">
        <v>191.3</v>
      </c>
      <c r="E107" s="852" t="e">
        <f>VLOOKUP(A107,'TB 18'!$A$3:$A$182,1,0)</f>
        <v>#N/A</v>
      </c>
    </row>
    <row r="108" spans="1:5">
      <c r="A108" s="853" t="s">
        <v>1221</v>
      </c>
      <c r="B108" s="852" t="s">
        <v>299</v>
      </c>
      <c r="C108" s="1541">
        <v>0</v>
      </c>
      <c r="D108" s="1541">
        <v>270723</v>
      </c>
      <c r="E108" s="852" t="e">
        <f>VLOOKUP(A108,'TB 18'!$A$3:$A$182,1,0)</f>
        <v>#N/A</v>
      </c>
    </row>
    <row r="109" spans="1:5">
      <c r="A109" s="853" t="s">
        <v>1222</v>
      </c>
      <c r="B109" s="852" t="s">
        <v>301</v>
      </c>
      <c r="C109" s="1541">
        <v>0</v>
      </c>
      <c r="D109" s="1541">
        <v>88997.25</v>
      </c>
      <c r="E109" s="852" t="e">
        <f>VLOOKUP(A109,'TB 18'!$A$3:$A$182,1,0)</f>
        <v>#N/A</v>
      </c>
    </row>
    <row r="110" spans="1:5">
      <c r="A110" s="853" t="s">
        <v>1224</v>
      </c>
      <c r="B110" s="852" t="s">
        <v>305</v>
      </c>
      <c r="C110" s="1541">
        <v>0</v>
      </c>
      <c r="D110" s="1541">
        <v>8720215.5299999993</v>
      </c>
      <c r="E110" s="852" t="e">
        <f>VLOOKUP(A110,'TB 18'!$A$3:$A$182,1,0)</f>
        <v>#N/A</v>
      </c>
    </row>
    <row r="111" spans="1:5">
      <c r="A111" s="853" t="s">
        <v>1225</v>
      </c>
      <c r="B111" s="852" t="s">
        <v>307</v>
      </c>
      <c r="C111" s="1541">
        <v>0</v>
      </c>
      <c r="D111" s="1541">
        <v>541541.87</v>
      </c>
      <c r="E111" s="852" t="e">
        <f>VLOOKUP(A111,'TB 18'!$A$3:$A$182,1,0)</f>
        <v>#N/A</v>
      </c>
    </row>
    <row r="112" spans="1:5">
      <c r="A112" s="853" t="s">
        <v>1226</v>
      </c>
      <c r="B112" s="852" t="s">
        <v>309</v>
      </c>
      <c r="C112" s="1541">
        <v>0</v>
      </c>
      <c r="D112" s="1541">
        <v>62566</v>
      </c>
      <c r="E112" s="852" t="e">
        <f>VLOOKUP(A112,'TB 18'!$A$3:$A$182,1,0)</f>
        <v>#N/A</v>
      </c>
    </row>
    <row r="113" spans="1:5">
      <c r="A113" s="853" t="s">
        <v>1209</v>
      </c>
      <c r="B113" s="852" t="s">
        <v>258</v>
      </c>
      <c r="C113" s="1541">
        <v>0</v>
      </c>
      <c r="D113" s="1541">
        <v>23386.170000000002</v>
      </c>
      <c r="E113" s="852" t="e">
        <f>VLOOKUP(A113,'TB 18'!$A$3:$A$182,1,0)</f>
        <v>#N/A</v>
      </c>
    </row>
    <row r="114" spans="1:5">
      <c r="A114" s="853" t="s">
        <v>1230</v>
      </c>
      <c r="B114" s="852" t="s">
        <v>317</v>
      </c>
      <c r="C114" s="1541">
        <v>0</v>
      </c>
      <c r="D114" s="1541">
        <v>25480.38</v>
      </c>
      <c r="E114" s="852" t="e">
        <f>VLOOKUP(A114,'TB 18'!$A$3:$A$182,1,0)</f>
        <v>#N/A</v>
      </c>
    </row>
    <row r="115" spans="1:5">
      <c r="A115" s="853" t="s">
        <v>1342</v>
      </c>
      <c r="B115" s="852" t="s">
        <v>1341</v>
      </c>
      <c r="C115" s="1541">
        <v>0</v>
      </c>
      <c r="D115" s="1541">
        <v>330745</v>
      </c>
      <c r="E115" s="852" t="e">
        <f>VLOOKUP(A115,'TB 18'!$A$3:$A$182,1,0)</f>
        <v>#N/A</v>
      </c>
    </row>
    <row r="116" spans="1:5">
      <c r="A116" s="853" t="s">
        <v>1210</v>
      </c>
      <c r="B116" s="852" t="s">
        <v>260</v>
      </c>
      <c r="C116" s="1541">
        <v>0</v>
      </c>
      <c r="D116" s="1541">
        <v>55737.36</v>
      </c>
      <c r="E116" s="852" t="e">
        <f>VLOOKUP(A116,'TB 18'!$A$3:$A$182,1,0)</f>
        <v>#N/A</v>
      </c>
    </row>
    <row r="117" spans="1:5">
      <c r="A117" s="853" t="s">
        <v>2252</v>
      </c>
      <c r="B117" s="852" t="s">
        <v>2253</v>
      </c>
      <c r="C117" s="1541">
        <v>0</v>
      </c>
      <c r="D117" s="1541">
        <v>1313509.6299999999</v>
      </c>
      <c r="E117" s="852" t="e">
        <f>VLOOKUP(A117,'TB 18'!$A$3:$A$182,1,0)</f>
        <v>#N/A</v>
      </c>
    </row>
    <row r="118" spans="1:5">
      <c r="A118" s="853" t="s">
        <v>1242</v>
      </c>
      <c r="B118" s="852" t="s">
        <v>375</v>
      </c>
      <c r="C118" s="1541">
        <v>0</v>
      </c>
      <c r="D118" s="1541">
        <v>75540.05</v>
      </c>
      <c r="E118" s="852" t="e">
        <f>VLOOKUP(A118,'TB 18'!$A$3:$A$182,1,0)</f>
        <v>#N/A</v>
      </c>
    </row>
    <row r="119" spans="1:5">
      <c r="A119" s="853" t="s">
        <v>1243</v>
      </c>
      <c r="B119" s="852" t="s">
        <v>377</v>
      </c>
      <c r="C119" s="1541">
        <v>2559337.33</v>
      </c>
      <c r="D119" s="1541">
        <v>0</v>
      </c>
      <c r="E119" s="852" t="e">
        <f>VLOOKUP(A119,'TB 18'!$A$3:$A$182,1,0)</f>
        <v>#N/A</v>
      </c>
    </row>
    <row r="120" spans="1:5">
      <c r="A120" s="853" t="s">
        <v>1244</v>
      </c>
      <c r="B120" s="852" t="s">
        <v>379</v>
      </c>
      <c r="C120" s="1541">
        <v>0</v>
      </c>
      <c r="D120" s="1541">
        <v>568393.5</v>
      </c>
      <c r="E120" s="852" t="e">
        <f>VLOOKUP(A120,'TB 18'!$A$3:$A$182,1,0)</f>
        <v>#N/A</v>
      </c>
    </row>
    <row r="121" spans="1:5">
      <c r="A121" s="853" t="s">
        <v>2300</v>
      </c>
      <c r="B121" s="852" t="s">
        <v>2301</v>
      </c>
      <c r="C121" s="1541">
        <v>112500</v>
      </c>
      <c r="D121" s="1541">
        <v>0</v>
      </c>
      <c r="E121" s="852" t="e">
        <f>VLOOKUP(A121,'TB 18'!$A$3:$A$182,1,0)</f>
        <v>#N/A</v>
      </c>
    </row>
    <row r="122" spans="1:5">
      <c r="A122" s="853" t="s">
        <v>1282</v>
      </c>
      <c r="B122" s="852" t="s">
        <v>499</v>
      </c>
      <c r="C122" s="1541">
        <v>0</v>
      </c>
      <c r="D122" s="1541">
        <v>340000</v>
      </c>
      <c r="E122" s="852" t="e">
        <f>VLOOKUP(A122,'TB 18'!$A$3:$A$182,1,0)</f>
        <v>#N/A</v>
      </c>
    </row>
    <row r="123" spans="1:5">
      <c r="A123" s="853" t="s">
        <v>1278</v>
      </c>
      <c r="B123" s="852" t="s">
        <v>487</v>
      </c>
      <c r="C123" s="1541">
        <v>7802864.5999999996</v>
      </c>
      <c r="D123" s="1541">
        <v>0</v>
      </c>
      <c r="E123" s="852" t="e">
        <f>VLOOKUP(A123,'TB 18'!$A$3:$A$182,1,0)</f>
        <v>#N/A</v>
      </c>
    </row>
    <row r="124" spans="1:5">
      <c r="A124" s="853" t="s">
        <v>1245</v>
      </c>
      <c r="B124" s="852" t="s">
        <v>389</v>
      </c>
      <c r="C124" s="1541">
        <v>0</v>
      </c>
      <c r="D124" s="1541">
        <v>7592158.0999999996</v>
      </c>
      <c r="E124" s="852" t="e">
        <f>VLOOKUP(A124,'TB 18'!$A$3:$A$182,1,0)</f>
        <v>#N/A</v>
      </c>
    </row>
    <row r="125" spans="1:5">
      <c r="A125" s="853" t="s">
        <v>1279</v>
      </c>
      <c r="B125" s="852" t="s">
        <v>489</v>
      </c>
      <c r="C125" s="1541">
        <v>0</v>
      </c>
      <c r="D125" s="1541">
        <v>710707</v>
      </c>
      <c r="E125" s="852" t="e">
        <f>VLOOKUP(A125,'TB 18'!$A$3:$A$182,1,0)</f>
        <v>#N/A</v>
      </c>
    </row>
    <row r="126" spans="1:5">
      <c r="A126" s="853" t="s">
        <v>1280</v>
      </c>
      <c r="B126" s="852" t="s">
        <v>491</v>
      </c>
      <c r="C126" s="1541">
        <v>0.1</v>
      </c>
      <c r="D126" s="1541">
        <v>0</v>
      </c>
      <c r="E126" s="852" t="e">
        <f>VLOOKUP(A126,'TB 18'!$A$3:$A$182,1,0)</f>
        <v>#N/A</v>
      </c>
    </row>
    <row r="127" spans="1:5">
      <c r="A127" s="853" t="s">
        <v>1281</v>
      </c>
      <c r="B127" s="852" t="s">
        <v>493</v>
      </c>
      <c r="C127" s="1541">
        <v>467802</v>
      </c>
      <c r="D127" s="1541">
        <v>0</v>
      </c>
      <c r="E127" s="852" t="e">
        <f>VLOOKUP(A127,'TB 18'!$A$3:$A$182,1,0)</f>
        <v>#N/A</v>
      </c>
    </row>
    <row r="128" spans="1:5">
      <c r="A128" s="853" t="s">
        <v>2302</v>
      </c>
      <c r="B128" s="852" t="s">
        <v>2303</v>
      </c>
      <c r="C128" s="1541">
        <v>0</v>
      </c>
      <c r="D128" s="1541">
        <v>0.02</v>
      </c>
      <c r="E128" s="852" t="e">
        <f>VLOOKUP(A128,'TB 18'!$A$3:$A$182,1,0)</f>
        <v>#N/A</v>
      </c>
    </row>
    <row r="129" spans="1:5">
      <c r="A129" s="853" t="s">
        <v>1910</v>
      </c>
      <c r="B129" s="852" t="s">
        <v>1911</v>
      </c>
      <c r="C129" s="1541">
        <v>0</v>
      </c>
      <c r="D129" s="1541">
        <v>122232.34</v>
      </c>
      <c r="E129" s="852" t="e">
        <f>VLOOKUP(A129,'TB 18'!$A$3:$A$182,1,0)</f>
        <v>#N/A</v>
      </c>
    </row>
    <row r="130" spans="1:5">
      <c r="A130" s="853" t="s">
        <v>1260</v>
      </c>
      <c r="B130" s="852" t="s">
        <v>447</v>
      </c>
      <c r="C130" s="1541">
        <v>0</v>
      </c>
      <c r="D130" s="1541">
        <v>1035410</v>
      </c>
      <c r="E130" s="852" t="e">
        <f>VLOOKUP(A130,'TB 18'!$A$3:$A$182,1,0)</f>
        <v>#N/A</v>
      </c>
    </row>
    <row r="131" spans="1:5">
      <c r="A131" s="853" t="s">
        <v>1261</v>
      </c>
      <c r="B131" s="852" t="s">
        <v>449</v>
      </c>
      <c r="C131" s="1541">
        <v>0</v>
      </c>
      <c r="D131" s="1541">
        <v>71069.290000000008</v>
      </c>
      <c r="E131" s="852" t="e">
        <f>VLOOKUP(A131,'TB 18'!$A$3:$A$182,1,0)</f>
        <v>#N/A</v>
      </c>
    </row>
    <row r="132" spans="1:5">
      <c r="A132" s="853" t="s">
        <v>1263</v>
      </c>
      <c r="B132" s="852" t="s">
        <v>453</v>
      </c>
      <c r="C132" s="1541">
        <v>0</v>
      </c>
      <c r="D132" s="1541">
        <v>213136.62</v>
      </c>
      <c r="E132" s="852" t="e">
        <f>VLOOKUP(A132,'TB 18'!$A$3:$A$182,1,0)</f>
        <v>#N/A</v>
      </c>
    </row>
    <row r="133" spans="1:5">
      <c r="A133" s="853" t="s">
        <v>1264</v>
      </c>
      <c r="B133" s="852" t="s">
        <v>455</v>
      </c>
      <c r="C133" s="1541">
        <v>0</v>
      </c>
      <c r="D133" s="1541">
        <v>121316.01000000001</v>
      </c>
      <c r="E133" s="852" t="e">
        <f>VLOOKUP(A133,'TB 18'!$A$3:$A$182,1,0)</f>
        <v>#N/A</v>
      </c>
    </row>
    <row r="134" spans="1:5">
      <c r="A134" s="853" t="s">
        <v>1272</v>
      </c>
      <c r="B134" s="852" t="s">
        <v>471</v>
      </c>
      <c r="C134" s="1541">
        <v>0</v>
      </c>
      <c r="D134" s="1541">
        <v>0.12</v>
      </c>
      <c r="E134" s="852" t="e">
        <f>VLOOKUP(A134,'TB 18'!$A$3:$A$182,1,0)</f>
        <v>#N/A</v>
      </c>
    </row>
    <row r="135" spans="1:5">
      <c r="A135" s="853" t="s">
        <v>1275</v>
      </c>
      <c r="B135" s="852" t="s">
        <v>477</v>
      </c>
      <c r="C135" s="1541">
        <v>0</v>
      </c>
      <c r="D135" s="1541">
        <v>542987.27</v>
      </c>
      <c r="E135" s="852" t="e">
        <f>VLOOKUP(A135,'TB 18'!$A$3:$A$182,1,0)</f>
        <v>#N/A</v>
      </c>
    </row>
    <row r="136" spans="1:5">
      <c r="A136" s="853" t="s">
        <v>1567</v>
      </c>
      <c r="B136" s="852" t="s">
        <v>1566</v>
      </c>
      <c r="C136" s="1541">
        <v>0</v>
      </c>
      <c r="D136" s="1541">
        <v>63896.770000000004</v>
      </c>
      <c r="E136" s="852" t="e">
        <f>VLOOKUP(A136,'TB 18'!$A$3:$A$182,1,0)</f>
        <v>#N/A</v>
      </c>
    </row>
    <row r="137" spans="1:5">
      <c r="A137" s="853" t="s">
        <v>1570</v>
      </c>
      <c r="B137" s="852" t="s">
        <v>1569</v>
      </c>
      <c r="C137" s="1541">
        <v>0</v>
      </c>
      <c r="D137" s="1541">
        <v>1617850</v>
      </c>
      <c r="E137" s="852" t="e">
        <f>VLOOKUP(A137,'TB 18'!$A$3:$A$182,1,0)</f>
        <v>#N/A</v>
      </c>
    </row>
    <row r="138" spans="1:5">
      <c r="A138" s="853" t="s">
        <v>1912</v>
      </c>
      <c r="B138" s="852" t="s">
        <v>1913</v>
      </c>
      <c r="C138" s="1541">
        <v>0</v>
      </c>
      <c r="D138" s="1541">
        <v>36979</v>
      </c>
      <c r="E138" s="852" t="e">
        <f>VLOOKUP(A138,'TB 18'!$A$3:$A$182,1,0)</f>
        <v>#N/A</v>
      </c>
    </row>
    <row r="139" spans="1:5">
      <c r="A139" s="853" t="s">
        <v>1573</v>
      </c>
      <c r="B139" s="852" t="s">
        <v>1572</v>
      </c>
      <c r="C139" s="1541">
        <v>0</v>
      </c>
      <c r="D139" s="1541">
        <v>0.92</v>
      </c>
      <c r="E139" s="852" t="e">
        <f>VLOOKUP(A139,'TB 18'!$A$3:$A$182,1,0)</f>
        <v>#N/A</v>
      </c>
    </row>
    <row r="140" spans="1:5">
      <c r="A140" s="853" t="s">
        <v>2254</v>
      </c>
      <c r="B140" s="852" t="s">
        <v>2255</v>
      </c>
      <c r="C140" s="1541">
        <v>0.12</v>
      </c>
      <c r="D140" s="1541">
        <v>0</v>
      </c>
      <c r="E140" s="852" t="e">
        <f>VLOOKUP(A140,'TB 18'!$A$3:$A$182,1,0)</f>
        <v>#N/A</v>
      </c>
    </row>
    <row r="141" spans="1:5">
      <c r="A141" s="853" t="s">
        <v>1247</v>
      </c>
      <c r="B141" s="852" t="s">
        <v>397</v>
      </c>
      <c r="C141" s="1541">
        <v>0</v>
      </c>
      <c r="D141" s="1541">
        <v>6493438.0899999999</v>
      </c>
      <c r="E141" s="852" t="e">
        <f>VLOOKUP(A141,'TB 18'!$A$3:$A$182,1,0)</f>
        <v>#N/A</v>
      </c>
    </row>
    <row r="142" spans="1:5">
      <c r="A142" s="853" t="s">
        <v>1252</v>
      </c>
      <c r="B142" s="852" t="s">
        <v>410</v>
      </c>
      <c r="C142" s="1541">
        <v>0</v>
      </c>
      <c r="D142" s="1541">
        <v>2491168.59</v>
      </c>
      <c r="E142" s="852" t="e">
        <f>VLOOKUP(A142,'TB 18'!$A$3:$A$182,1,0)</f>
        <v>#N/A</v>
      </c>
    </row>
    <row r="143" spans="1:5">
      <c r="A143" s="853" t="s">
        <v>2304</v>
      </c>
      <c r="B143" s="852" t="s">
        <v>2305</v>
      </c>
      <c r="C143" s="1541">
        <v>0</v>
      </c>
      <c r="D143" s="1541">
        <v>64382.880000000005</v>
      </c>
      <c r="E143" s="852" t="e">
        <f>VLOOKUP(A143,'TB 18'!$A$3:$A$182,1,0)</f>
        <v>#N/A</v>
      </c>
    </row>
    <row r="144" spans="1:5">
      <c r="A144" s="853" t="s">
        <v>1249</v>
      </c>
      <c r="B144" s="852" t="s">
        <v>400</v>
      </c>
      <c r="C144" s="1541">
        <v>0</v>
      </c>
      <c r="D144" s="1541">
        <v>2248556.81</v>
      </c>
      <c r="E144" s="852" t="e">
        <f>VLOOKUP(A144,'TB 18'!$A$3:$A$182,1,0)</f>
        <v>#N/A</v>
      </c>
    </row>
    <row r="145" spans="1:5">
      <c r="A145" s="853" t="s">
        <v>1253</v>
      </c>
      <c r="B145" s="852" t="s">
        <v>412</v>
      </c>
      <c r="C145" s="1541">
        <v>243462.9</v>
      </c>
      <c r="D145" s="1541">
        <v>0</v>
      </c>
      <c r="E145" s="852" t="e">
        <f>VLOOKUP(A145,'TB 18'!$A$3:$A$182,1,0)</f>
        <v>#N/A</v>
      </c>
    </row>
    <row r="146" spans="1:5">
      <c r="A146" s="853" t="s">
        <v>1254</v>
      </c>
      <c r="B146" s="852" t="s">
        <v>414</v>
      </c>
      <c r="C146" s="1541">
        <v>0</v>
      </c>
      <c r="D146" s="1541">
        <v>907186.67</v>
      </c>
      <c r="E146" s="852" t="e">
        <f>VLOOKUP(A146,'TB 18'!$A$3:$A$182,1,0)</f>
        <v>#N/A</v>
      </c>
    </row>
    <row r="147" spans="1:5">
      <c r="A147" s="853" t="s">
        <v>1246</v>
      </c>
      <c r="B147" s="852" t="s">
        <v>391</v>
      </c>
      <c r="C147" s="1541">
        <v>0</v>
      </c>
      <c r="D147" s="1541">
        <v>1389532.05</v>
      </c>
      <c r="E147" s="852" t="e">
        <f>VLOOKUP(A147,'TB 18'!$A$3:$A$182,1,0)</f>
        <v>#N/A</v>
      </c>
    </row>
    <row r="148" spans="1:5">
      <c r="A148" s="853" t="s">
        <v>1914</v>
      </c>
      <c r="B148" s="852" t="s">
        <v>1915</v>
      </c>
      <c r="C148" s="1541">
        <v>0</v>
      </c>
      <c r="D148" s="1541">
        <v>694563.55</v>
      </c>
      <c r="E148" s="852" t="e">
        <f>VLOOKUP(A148,'TB 18'!$A$3:$A$182,1,0)</f>
        <v>#N/A</v>
      </c>
    </row>
    <row r="149" spans="1:5">
      <c r="A149" s="853" t="s">
        <v>2306</v>
      </c>
      <c r="B149" s="852" t="s">
        <v>2307</v>
      </c>
      <c r="C149" s="1541">
        <v>8282.35</v>
      </c>
      <c r="D149" s="1541">
        <v>0</v>
      </c>
      <c r="E149" s="852" t="e">
        <f>VLOOKUP(A149,'TB 18'!$A$3:$A$182,1,0)</f>
        <v>#N/A</v>
      </c>
    </row>
    <row r="150" spans="1:5">
      <c r="A150" s="853" t="s">
        <v>1257</v>
      </c>
      <c r="B150" s="852" t="s">
        <v>433</v>
      </c>
      <c r="C150" s="1541">
        <v>0</v>
      </c>
      <c r="D150" s="1541">
        <v>23985</v>
      </c>
      <c r="E150" s="852" t="e">
        <f>VLOOKUP(A150,'TB 18'!$A$3:$A$182,1,0)</f>
        <v>#N/A</v>
      </c>
    </row>
    <row r="151" spans="1:5">
      <c r="A151" s="853" t="s">
        <v>1329</v>
      </c>
      <c r="B151" s="852" t="s">
        <v>661</v>
      </c>
      <c r="C151" s="1541">
        <v>0</v>
      </c>
      <c r="D151" s="1541">
        <v>1407090.72</v>
      </c>
      <c r="E151" s="852" t="e">
        <f>VLOOKUP(A151,'TB 18'!$A$3:$A$182,1,0)</f>
        <v>#N/A</v>
      </c>
    </row>
    <row r="152" spans="1:5">
      <c r="A152" s="853" t="s">
        <v>1330</v>
      </c>
      <c r="B152" s="852" t="s">
        <v>666</v>
      </c>
      <c r="C152" s="1541">
        <v>0</v>
      </c>
      <c r="D152" s="1541">
        <v>4782102.46</v>
      </c>
      <c r="E152" s="852" t="e">
        <f>VLOOKUP(A152,'TB 18'!$A$3:$A$182,1,0)</f>
        <v>#N/A</v>
      </c>
    </row>
    <row r="153" spans="1:5">
      <c r="A153" s="853" t="s">
        <v>1259</v>
      </c>
      <c r="B153" s="852" t="s">
        <v>441</v>
      </c>
      <c r="C153" s="1541">
        <v>0</v>
      </c>
      <c r="D153" s="1541">
        <v>1302562.31</v>
      </c>
      <c r="E153" s="852" t="e">
        <f>VLOOKUP(A153,'TB 18'!$A$3:$A$182,1,0)</f>
        <v>#N/A</v>
      </c>
    </row>
    <row r="154" spans="1:5">
      <c r="A154" s="853" t="s">
        <v>1285</v>
      </c>
      <c r="B154" s="852" t="s">
        <v>511</v>
      </c>
      <c r="C154" s="1541">
        <v>1371942.48</v>
      </c>
      <c r="D154" s="1541">
        <v>0</v>
      </c>
      <c r="E154" s="852" t="e">
        <f>VLOOKUP(A154,'TB 18'!$A$3:$A$182,1,0)</f>
        <v>#N/A</v>
      </c>
    </row>
    <row r="155" spans="1:5">
      <c r="A155" s="853" t="s">
        <v>1286</v>
      </c>
      <c r="B155" s="852" t="s">
        <v>513</v>
      </c>
      <c r="C155" s="1541">
        <v>177819.33000000002</v>
      </c>
      <c r="D155" s="1541">
        <v>0</v>
      </c>
      <c r="E155" s="852" t="e">
        <f>VLOOKUP(A155,'TB 18'!$A$3:$A$182,1,0)</f>
        <v>#N/A</v>
      </c>
    </row>
    <row r="156" spans="1:5">
      <c r="A156" s="853" t="s">
        <v>1288</v>
      </c>
      <c r="B156" s="852" t="s">
        <v>521</v>
      </c>
      <c r="C156" s="1541">
        <v>131447</v>
      </c>
      <c r="D156" s="1541">
        <v>0</v>
      </c>
      <c r="E156" s="852" t="e">
        <f>VLOOKUP(A156,'TB 18'!$A$3:$A$182,1,0)</f>
        <v>#N/A</v>
      </c>
    </row>
    <row r="157" spans="1:5">
      <c r="A157" s="853" t="s">
        <v>1326</v>
      </c>
      <c r="B157" s="852" t="s">
        <v>649</v>
      </c>
      <c r="C157" s="1541">
        <v>17087</v>
      </c>
      <c r="D157" s="1541">
        <v>0</v>
      </c>
      <c r="E157" s="852" t="e">
        <f>VLOOKUP(A157,'TB 18'!$A$3:$A$182,1,0)</f>
        <v>#N/A</v>
      </c>
    </row>
    <row r="158" spans="1:5">
      <c r="A158" s="853" t="s">
        <v>1289</v>
      </c>
      <c r="B158" s="852" t="s">
        <v>527</v>
      </c>
      <c r="C158" s="1541">
        <v>34945</v>
      </c>
      <c r="D158" s="1541">
        <v>0</v>
      </c>
      <c r="E158" s="852" t="e">
        <f>VLOOKUP(A158,'TB 18'!$A$3:$A$182,1,0)</f>
        <v>#N/A</v>
      </c>
    </row>
    <row r="159" spans="1:5">
      <c r="A159" s="853" t="s">
        <v>1327</v>
      </c>
      <c r="B159" s="852" t="s">
        <v>654</v>
      </c>
      <c r="C159" s="1541">
        <v>176123.08000000002</v>
      </c>
      <c r="D159" s="1541">
        <v>0</v>
      </c>
      <c r="E159" s="852" t="e">
        <f>VLOOKUP(A159,'TB 18'!$A$3:$A$182,1,0)</f>
        <v>#N/A</v>
      </c>
    </row>
    <row r="160" spans="1:5">
      <c r="A160" s="853" t="s">
        <v>2256</v>
      </c>
      <c r="B160" s="852" t="s">
        <v>2257</v>
      </c>
      <c r="C160" s="1541">
        <v>1314120.6499999999</v>
      </c>
      <c r="D160" s="1541">
        <v>0</v>
      </c>
      <c r="E160" s="2256" t="e">
        <f>VLOOKUP(A160,'TB 18'!$A$3:$A$182,1,0)</f>
        <v>#N/A</v>
      </c>
    </row>
    <row r="161" spans="1:5">
      <c r="A161" s="853" t="s">
        <v>1290</v>
      </c>
      <c r="B161" s="852" t="s">
        <v>532</v>
      </c>
      <c r="C161" s="1541">
        <v>270723</v>
      </c>
      <c r="D161" s="1541">
        <v>0</v>
      </c>
      <c r="E161" s="852" t="e">
        <f>VLOOKUP(A161,'TB 18'!$A$3:$A$182,1,0)</f>
        <v>#N/A</v>
      </c>
    </row>
    <row r="162" spans="1:5">
      <c r="A162" s="853" t="s">
        <v>1291</v>
      </c>
      <c r="B162" s="852" t="s">
        <v>534</v>
      </c>
      <c r="C162" s="1541">
        <v>95165</v>
      </c>
      <c r="D162" s="1541">
        <v>0</v>
      </c>
      <c r="E162" s="852" t="e">
        <f>VLOOKUP(A162,'TB 18'!$A$3:$A$182,1,0)</f>
        <v>#N/A</v>
      </c>
    </row>
    <row r="163" spans="1:5">
      <c r="A163" s="853" t="s">
        <v>1292</v>
      </c>
      <c r="B163" s="852" t="s">
        <v>536</v>
      </c>
      <c r="C163" s="1541">
        <v>1695</v>
      </c>
      <c r="D163" s="1541">
        <v>0</v>
      </c>
      <c r="E163" s="852" t="e">
        <f>VLOOKUP(A163,'TB 18'!$A$3:$A$182,1,0)</f>
        <v>#N/A</v>
      </c>
    </row>
    <row r="164" spans="1:5">
      <c r="A164" s="853" t="s">
        <v>1294</v>
      </c>
      <c r="B164" s="852" t="s">
        <v>540</v>
      </c>
      <c r="C164" s="1541">
        <v>77081.55</v>
      </c>
      <c r="D164" s="1541">
        <v>0</v>
      </c>
      <c r="E164" s="852" t="e">
        <f>VLOOKUP(A164,'TB 18'!$A$3:$A$182,1,0)</f>
        <v>#N/A</v>
      </c>
    </row>
    <row r="165" spans="1:5">
      <c r="A165" s="853" t="s">
        <v>1319</v>
      </c>
      <c r="B165" s="852" t="s">
        <v>608</v>
      </c>
      <c r="C165" s="1541">
        <v>77639.72</v>
      </c>
      <c r="D165" s="1541">
        <v>0</v>
      </c>
      <c r="E165" s="852" t="e">
        <f>VLOOKUP(A165,'TB 18'!$A$3:$A$182,1,0)</f>
        <v>#N/A</v>
      </c>
    </row>
    <row r="166" spans="1:5">
      <c r="A166" s="853" t="s">
        <v>1324</v>
      </c>
      <c r="B166" s="852" t="s">
        <v>642</v>
      </c>
      <c r="C166" s="1541">
        <v>268202.37</v>
      </c>
      <c r="D166" s="1541">
        <v>0</v>
      </c>
      <c r="E166" s="852" t="e">
        <f>VLOOKUP(A166,'TB 18'!$A$3:$A$182,1,0)</f>
        <v>#N/A</v>
      </c>
    </row>
    <row r="167" spans="1:5">
      <c r="A167" s="853" t="s">
        <v>1322</v>
      </c>
      <c r="B167" s="852" t="s">
        <v>628</v>
      </c>
      <c r="C167" s="1541">
        <v>145229.36000000002</v>
      </c>
      <c r="D167" s="1541">
        <v>0</v>
      </c>
      <c r="E167" s="852" t="e">
        <f>VLOOKUP(A167,'TB 18'!$A$3:$A$182,1,0)</f>
        <v>#N/A</v>
      </c>
    </row>
    <row r="168" spans="1:5">
      <c r="A168" s="853" t="s">
        <v>1295</v>
      </c>
      <c r="B168" s="852" t="s">
        <v>542</v>
      </c>
      <c r="C168" s="1541">
        <v>34425.480000000003</v>
      </c>
      <c r="D168" s="1541">
        <v>0</v>
      </c>
      <c r="E168" s="852" t="e">
        <f>VLOOKUP(A168,'TB 18'!$A$3:$A$182,1,0)</f>
        <v>#N/A</v>
      </c>
    </row>
    <row r="169" spans="1:5">
      <c r="A169" s="853" t="s">
        <v>1314</v>
      </c>
      <c r="B169" s="852" t="s">
        <v>595</v>
      </c>
      <c r="C169" s="1541">
        <v>101208.28</v>
      </c>
      <c r="D169" s="1541">
        <v>0</v>
      </c>
      <c r="E169" s="852" t="e">
        <f>VLOOKUP(A169,'TB 18'!$A$3:$A$182,1,0)</f>
        <v>#N/A</v>
      </c>
    </row>
    <row r="170" spans="1:5">
      <c r="A170" s="853" t="s">
        <v>1316</v>
      </c>
      <c r="B170" s="852" t="s">
        <v>599</v>
      </c>
      <c r="C170" s="1541">
        <v>6900</v>
      </c>
      <c r="D170" s="1541">
        <v>0</v>
      </c>
      <c r="E170" s="852" t="e">
        <f>VLOOKUP(A170,'TB 18'!$A$3:$A$182,1,0)</f>
        <v>#N/A</v>
      </c>
    </row>
    <row r="171" spans="1:5">
      <c r="A171" s="853" t="s">
        <v>1317</v>
      </c>
      <c r="B171" s="852" t="s">
        <v>601</v>
      </c>
      <c r="C171" s="1541">
        <v>62841.520000000004</v>
      </c>
      <c r="D171" s="1541">
        <v>0</v>
      </c>
      <c r="E171" s="852" t="e">
        <f>VLOOKUP(A171,'TB 18'!$A$3:$A$182,1,0)</f>
        <v>#N/A</v>
      </c>
    </row>
    <row r="172" spans="1:5">
      <c r="A172" s="853" t="s">
        <v>1320</v>
      </c>
      <c r="B172" s="852" t="s">
        <v>617</v>
      </c>
      <c r="C172" s="1541">
        <v>1276.25</v>
      </c>
      <c r="D172" s="1541">
        <v>0</v>
      </c>
      <c r="E172" s="852" t="e">
        <f>VLOOKUP(A172,'TB 18'!$A$3:$A$182,1,0)</f>
        <v>#N/A</v>
      </c>
    </row>
    <row r="173" spans="1:5">
      <c r="A173" s="853" t="s">
        <v>1296</v>
      </c>
      <c r="B173" s="852" t="s">
        <v>553</v>
      </c>
      <c r="C173" s="1541">
        <v>424</v>
      </c>
      <c r="D173" s="1541">
        <v>0</v>
      </c>
      <c r="E173" s="852" t="e">
        <f>VLOOKUP(A173,'TB 18'!$A$3:$A$182,1,0)</f>
        <v>#N/A</v>
      </c>
    </row>
    <row r="174" spans="1:5">
      <c r="A174" s="853" t="s">
        <v>1298</v>
      </c>
      <c r="B174" s="852" t="s">
        <v>557</v>
      </c>
      <c r="C174" s="1541">
        <v>122.15</v>
      </c>
      <c r="D174" s="1541">
        <v>0</v>
      </c>
    </row>
    <row r="175" spans="1:5">
      <c r="A175" s="853" t="s">
        <v>1300</v>
      </c>
      <c r="B175" s="852" t="s">
        <v>561</v>
      </c>
      <c r="C175" s="1541">
        <v>20388</v>
      </c>
      <c r="D175" s="1541">
        <v>0</v>
      </c>
    </row>
    <row r="176" spans="1:5">
      <c r="A176" s="853" t="s">
        <v>1301</v>
      </c>
      <c r="B176" s="852" t="s">
        <v>563</v>
      </c>
      <c r="C176" s="1541">
        <v>3968</v>
      </c>
      <c r="D176" s="1541">
        <v>0</v>
      </c>
    </row>
    <row r="177" spans="1:4">
      <c r="A177" s="853" t="s">
        <v>1311</v>
      </c>
      <c r="B177" s="852" t="s">
        <v>583</v>
      </c>
      <c r="C177" s="1541">
        <f>112-0.06</f>
        <v>111.94</v>
      </c>
      <c r="D177" s="1541">
        <v>0</v>
      </c>
    </row>
  </sheetData>
  <autoFilter ref="A2:E173"/>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2"/>
  <sheetViews>
    <sheetView topLeftCell="A152" zoomScale="90" zoomScaleNormal="90" workbookViewId="0">
      <selection activeCell="C173" sqref="C173"/>
    </sheetView>
  </sheetViews>
  <sheetFormatPr defaultColWidth="9" defaultRowHeight="15.75"/>
  <cols>
    <col min="1" max="1" width="13.125" style="852" customWidth="1"/>
    <col min="2" max="2" width="81.625" style="852" customWidth="1"/>
    <col min="3" max="3" width="22" style="1541" bestFit="1" customWidth="1"/>
    <col min="4" max="4" width="21.5" style="1541" customWidth="1"/>
    <col min="5" max="5" width="13" style="852" bestFit="1" customWidth="1"/>
    <col min="6" max="6" width="11.25" style="852" bestFit="1" customWidth="1"/>
    <col min="7" max="16384" width="9" style="852"/>
  </cols>
  <sheetData>
    <row r="1" spans="1:5">
      <c r="A1" s="852" t="s">
        <v>1897</v>
      </c>
    </row>
    <row r="2" spans="1:5">
      <c r="A2" s="852" t="s">
        <v>1898</v>
      </c>
      <c r="B2" s="852" t="s">
        <v>1899</v>
      </c>
      <c r="C2" s="1541" t="s">
        <v>1900</v>
      </c>
      <c r="D2" s="1541" t="s">
        <v>1901</v>
      </c>
    </row>
    <row r="3" spans="1:5">
      <c r="A3" s="853" t="s">
        <v>1127</v>
      </c>
      <c r="B3" s="852" t="s">
        <v>12</v>
      </c>
      <c r="C3" s="1541">
        <v>5774343.0999999996</v>
      </c>
      <c r="D3" s="1541">
        <v>0</v>
      </c>
      <c r="E3" s="852" t="e">
        <f>VLOOKUP(A3,'TB 18'!$A$3:$A$182,1,0)</f>
        <v>#N/A</v>
      </c>
    </row>
    <row r="4" spans="1:5">
      <c r="A4" s="853" t="s">
        <v>1128</v>
      </c>
      <c r="B4" s="852" t="s">
        <v>14</v>
      </c>
      <c r="C4" s="1541">
        <v>542707937.38</v>
      </c>
      <c r="D4" s="1541">
        <v>0</v>
      </c>
      <c r="E4" s="852" t="e">
        <f>VLOOKUP(A4,'TB 18'!$A$3:$A$182,1,0)</f>
        <v>#N/A</v>
      </c>
    </row>
    <row r="5" spans="1:5">
      <c r="A5" s="853" t="s">
        <v>1129</v>
      </c>
      <c r="B5" s="852" t="s">
        <v>16</v>
      </c>
      <c r="C5" s="1541">
        <v>17788.920000000002</v>
      </c>
      <c r="D5" s="1541">
        <v>0</v>
      </c>
      <c r="E5" s="852" t="e">
        <f>VLOOKUP(A5,'TB 18'!$A$3:$A$182,1,0)</f>
        <v>#N/A</v>
      </c>
    </row>
    <row r="6" spans="1:5">
      <c r="A6" s="853" t="s">
        <v>1130</v>
      </c>
      <c r="B6" s="852" t="s">
        <v>18</v>
      </c>
      <c r="C6" s="1541">
        <v>4649327.4000000004</v>
      </c>
      <c r="D6" s="1541">
        <v>0</v>
      </c>
      <c r="E6" s="852" t="e">
        <f>VLOOKUP(A6,'TB 18'!$A$3:$A$182,1,0)</f>
        <v>#N/A</v>
      </c>
    </row>
    <row r="7" spans="1:5">
      <c r="A7" s="853" t="s">
        <v>1131</v>
      </c>
      <c r="B7" s="852" t="s">
        <v>20</v>
      </c>
      <c r="C7" s="1541">
        <v>3555614.04</v>
      </c>
      <c r="D7" s="1541">
        <v>0</v>
      </c>
      <c r="E7" s="852" t="e">
        <f>VLOOKUP(A7,'TB 18'!$A$3:$A$182,1,0)</f>
        <v>#N/A</v>
      </c>
    </row>
    <row r="8" spans="1:5">
      <c r="A8" s="853" t="s">
        <v>1132</v>
      </c>
      <c r="B8" s="852" t="s">
        <v>22</v>
      </c>
      <c r="C8" s="1541">
        <v>603547.77</v>
      </c>
      <c r="D8" s="1541">
        <v>0</v>
      </c>
      <c r="E8" s="852" t="e">
        <f>VLOOKUP(A8,'TB 18'!$A$3:$A$182,1,0)</f>
        <v>#N/A</v>
      </c>
    </row>
    <row r="9" spans="1:5">
      <c r="A9" s="853" t="s">
        <v>1133</v>
      </c>
      <c r="B9" s="852" t="s">
        <v>24</v>
      </c>
      <c r="C9" s="1541">
        <v>11911.56</v>
      </c>
      <c r="D9" s="1541">
        <v>0</v>
      </c>
      <c r="E9" s="852" t="e">
        <f>VLOOKUP(A9,'TB 18'!$A$3:$A$182,1,0)</f>
        <v>#N/A</v>
      </c>
    </row>
    <row r="10" spans="1:5">
      <c r="A10" s="853" t="s">
        <v>1135</v>
      </c>
      <c r="B10" s="852" t="s">
        <v>28</v>
      </c>
      <c r="C10" s="1541">
        <v>3380.1800000000003</v>
      </c>
      <c r="D10" s="1541">
        <v>0</v>
      </c>
      <c r="E10" s="852" t="e">
        <f>VLOOKUP(A10,'TB 18'!$A$3:$A$182,1,0)</f>
        <v>#N/A</v>
      </c>
    </row>
    <row r="11" spans="1:5">
      <c r="A11" s="853" t="s">
        <v>1136</v>
      </c>
      <c r="B11" s="852" t="s">
        <v>30</v>
      </c>
      <c r="C11" s="1541">
        <v>2270150.58</v>
      </c>
      <c r="D11" s="1541">
        <v>0</v>
      </c>
      <c r="E11" s="852" t="e">
        <f>VLOOKUP(A11,'TB 18'!$A$3:$A$182,1,0)</f>
        <v>#N/A</v>
      </c>
    </row>
    <row r="12" spans="1:5">
      <c r="A12" s="853" t="s">
        <v>1137</v>
      </c>
      <c r="B12" s="852" t="s">
        <v>32</v>
      </c>
      <c r="C12" s="1541">
        <v>5476</v>
      </c>
      <c r="D12" s="1541">
        <v>0</v>
      </c>
      <c r="E12" s="852" t="e">
        <f>VLOOKUP(A12,'TB 18'!$A$3:$A$182,1,0)</f>
        <v>#N/A</v>
      </c>
    </row>
    <row r="13" spans="1:5">
      <c r="A13" s="853" t="s">
        <v>1138</v>
      </c>
      <c r="B13" s="852" t="s">
        <v>34</v>
      </c>
      <c r="C13" s="1541">
        <v>7011.4400000000005</v>
      </c>
      <c r="D13" s="1541">
        <v>0</v>
      </c>
      <c r="E13" s="852" t="e">
        <f>VLOOKUP(A13,'TB 18'!$A$3:$A$182,1,0)</f>
        <v>#N/A</v>
      </c>
    </row>
    <row r="14" spans="1:5">
      <c r="A14" s="853" t="s">
        <v>1139</v>
      </c>
      <c r="B14" s="852" t="s">
        <v>36</v>
      </c>
      <c r="C14" s="1541">
        <v>1452661.68</v>
      </c>
      <c r="D14" s="1541">
        <v>0</v>
      </c>
      <c r="E14" s="852" t="e">
        <f>VLOOKUP(A14,'TB 18'!$A$3:$A$182,1,0)</f>
        <v>#N/A</v>
      </c>
    </row>
    <row r="15" spans="1:5">
      <c r="A15" s="853" t="s">
        <v>1140</v>
      </c>
      <c r="B15" s="852" t="s">
        <v>38</v>
      </c>
      <c r="C15" s="1541">
        <v>2855.4900000000002</v>
      </c>
      <c r="D15" s="1541">
        <v>0</v>
      </c>
      <c r="E15" s="852" t="e">
        <f>VLOOKUP(A15,'TB 18'!$A$3:$A$182,1,0)</f>
        <v>#N/A</v>
      </c>
    </row>
    <row r="16" spans="1:5">
      <c r="A16" s="853" t="s">
        <v>1141</v>
      </c>
      <c r="B16" s="852" t="s">
        <v>40</v>
      </c>
      <c r="C16" s="1541">
        <v>7173.42</v>
      </c>
      <c r="D16" s="1541">
        <v>0</v>
      </c>
      <c r="E16" s="852" t="e">
        <f>VLOOKUP(A16,'TB 18'!$A$3:$A$182,1,0)</f>
        <v>#N/A</v>
      </c>
    </row>
    <row r="17" spans="1:5">
      <c r="A17" s="853" t="s">
        <v>1142</v>
      </c>
      <c r="B17" s="852" t="s">
        <v>42</v>
      </c>
      <c r="C17" s="1541">
        <v>4547.55</v>
      </c>
      <c r="D17" s="1541">
        <v>0</v>
      </c>
      <c r="E17" s="852" t="e">
        <f>VLOOKUP(A17,'TB 18'!$A$3:$A$182,1,0)</f>
        <v>#N/A</v>
      </c>
    </row>
    <row r="18" spans="1:5">
      <c r="A18" s="853" t="s">
        <v>1143</v>
      </c>
      <c r="B18" s="852" t="s">
        <v>44</v>
      </c>
      <c r="C18" s="1541">
        <v>12414.050000000001</v>
      </c>
      <c r="D18" s="1541">
        <v>0</v>
      </c>
      <c r="E18" s="852" t="e">
        <f>VLOOKUP(A18,'TB 18'!$A$3:$A$182,1,0)</f>
        <v>#N/A</v>
      </c>
    </row>
    <row r="19" spans="1:5">
      <c r="A19" s="853" t="s">
        <v>1144</v>
      </c>
      <c r="B19" s="852" t="s">
        <v>46</v>
      </c>
      <c r="C19" s="1541">
        <v>473060.57</v>
      </c>
      <c r="D19" s="1541">
        <v>0</v>
      </c>
      <c r="E19" s="852" t="e">
        <f>VLOOKUP(A19,'TB 18'!$A$3:$A$182,1,0)</f>
        <v>#N/A</v>
      </c>
    </row>
    <row r="20" spans="1:5">
      <c r="A20" s="853" t="s">
        <v>1145</v>
      </c>
      <c r="B20" s="852" t="s">
        <v>48</v>
      </c>
      <c r="C20" s="1541">
        <v>8000</v>
      </c>
      <c r="D20" s="1541">
        <v>0</v>
      </c>
      <c r="E20" s="852" t="e">
        <f>VLOOKUP(A20,'TB 18'!$A$3:$A$182,1,0)</f>
        <v>#N/A</v>
      </c>
    </row>
    <row r="21" spans="1:5">
      <c r="A21" s="853" t="s">
        <v>1146</v>
      </c>
      <c r="B21" s="852" t="s">
        <v>50</v>
      </c>
      <c r="C21" s="1541">
        <v>7067.57</v>
      </c>
      <c r="D21" s="1541">
        <v>0</v>
      </c>
      <c r="E21" s="852" t="e">
        <f>VLOOKUP(A21,'TB 18'!$A$3:$A$182,1,0)</f>
        <v>#N/A</v>
      </c>
    </row>
    <row r="22" spans="1:5">
      <c r="A22" s="853" t="s">
        <v>1540</v>
      </c>
      <c r="B22" s="852" t="s">
        <v>1539</v>
      </c>
      <c r="C22" s="1541">
        <v>29804.06</v>
      </c>
      <c r="D22" s="1541">
        <v>0</v>
      </c>
      <c r="E22" s="852" t="e">
        <f>VLOOKUP(A22,'TB 18'!$A$3:$A$182,1,0)</f>
        <v>#N/A</v>
      </c>
    </row>
    <row r="23" spans="1:5">
      <c r="A23" s="853" t="s">
        <v>1543</v>
      </c>
      <c r="B23" s="852" t="s">
        <v>1542</v>
      </c>
      <c r="C23" s="1541">
        <v>1374936.03</v>
      </c>
      <c r="D23" s="1541">
        <v>0</v>
      </c>
      <c r="E23" s="852" t="e">
        <f>VLOOKUP(A23,'TB 18'!$A$3:$A$182,1,0)</f>
        <v>#N/A</v>
      </c>
    </row>
    <row r="24" spans="1:5">
      <c r="A24" s="853" t="s">
        <v>1546</v>
      </c>
      <c r="B24" s="852" t="s">
        <v>1545</v>
      </c>
      <c r="C24" s="1541">
        <v>4184836.13</v>
      </c>
      <c r="D24" s="1541">
        <v>0</v>
      </c>
      <c r="E24" s="852" t="e">
        <f>VLOOKUP(A24,'TB 18'!$A$3:$A$182,1,0)</f>
        <v>#N/A</v>
      </c>
    </row>
    <row r="25" spans="1:5">
      <c r="A25" s="853" t="s">
        <v>2250</v>
      </c>
      <c r="B25" s="852" t="s">
        <v>2251</v>
      </c>
      <c r="C25" s="1541">
        <v>10363</v>
      </c>
      <c r="D25" s="1541">
        <v>0</v>
      </c>
      <c r="E25" s="852" t="e">
        <f>VLOOKUP(A25,'TB 18'!$A$3:$A$182,1,0)</f>
        <v>#N/A</v>
      </c>
    </row>
    <row r="26" spans="1:5">
      <c r="A26" s="853" t="s">
        <v>1168</v>
      </c>
      <c r="B26" s="852" t="s">
        <v>119</v>
      </c>
      <c r="C26" s="1541">
        <v>5551.8</v>
      </c>
      <c r="D26" s="1541">
        <v>0</v>
      </c>
      <c r="E26" s="852" t="e">
        <f>VLOOKUP(A26,'TB 18'!$A$3:$A$182,1,0)</f>
        <v>#N/A</v>
      </c>
    </row>
    <row r="27" spans="1:5">
      <c r="A27" s="853" t="s">
        <v>1169</v>
      </c>
      <c r="B27" s="852" t="s">
        <v>121</v>
      </c>
      <c r="C27" s="1541">
        <v>0</v>
      </c>
      <c r="D27" s="1541">
        <v>5551.8</v>
      </c>
      <c r="E27" s="852" t="e">
        <f>VLOOKUP(A27,'TB 18'!$A$3:$A$182,1,0)</f>
        <v>#N/A</v>
      </c>
    </row>
    <row r="28" spans="1:5">
      <c r="A28" s="853" t="s">
        <v>1160</v>
      </c>
      <c r="B28" s="852" t="s">
        <v>96</v>
      </c>
      <c r="C28" s="1541">
        <v>39</v>
      </c>
      <c r="D28" s="1541">
        <v>0</v>
      </c>
      <c r="E28" s="852" t="e">
        <f>VLOOKUP(A28,'TB 18'!$A$3:$A$182,1,0)</f>
        <v>#N/A</v>
      </c>
    </row>
    <row r="29" spans="1:5">
      <c r="A29" s="853" t="s">
        <v>1161</v>
      </c>
      <c r="B29" s="852" t="s">
        <v>98</v>
      </c>
      <c r="C29" s="1541">
        <v>0</v>
      </c>
      <c r="D29" s="1541">
        <v>22.2</v>
      </c>
      <c r="E29" s="852" t="e">
        <f>VLOOKUP(A29,'TB 18'!$A$3:$A$182,1,0)</f>
        <v>#N/A</v>
      </c>
    </row>
    <row r="30" spans="1:5">
      <c r="A30" s="853" t="s">
        <v>1163</v>
      </c>
      <c r="B30" s="852" t="s">
        <v>102</v>
      </c>
      <c r="C30" s="1541">
        <v>172784.06</v>
      </c>
      <c r="D30" s="1541">
        <v>0</v>
      </c>
      <c r="E30" s="852" t="e">
        <f>VLOOKUP(A30,'TB 18'!$A$3:$A$182,1,0)</f>
        <v>#N/A</v>
      </c>
    </row>
    <row r="31" spans="1:5">
      <c r="A31" s="853" t="s">
        <v>1164</v>
      </c>
      <c r="B31" s="852" t="s">
        <v>104</v>
      </c>
      <c r="C31" s="1541">
        <v>0</v>
      </c>
      <c r="D31" s="1541">
        <v>172784.06</v>
      </c>
      <c r="E31" s="852" t="e">
        <f>VLOOKUP(A31,'TB 18'!$A$3:$A$182,1,0)</f>
        <v>#N/A</v>
      </c>
    </row>
    <row r="32" spans="1:5">
      <c r="A32" s="853" t="s">
        <v>1151</v>
      </c>
      <c r="B32" s="852" t="s">
        <v>70</v>
      </c>
      <c r="C32" s="1541">
        <v>219602758.69999999</v>
      </c>
      <c r="D32" s="1541">
        <v>0</v>
      </c>
      <c r="E32" s="852" t="e">
        <f>VLOOKUP(A32,'TB 18'!$A$3:$A$182,1,0)</f>
        <v>#N/A</v>
      </c>
    </row>
    <row r="33" spans="1:5">
      <c r="A33" s="853" t="s">
        <v>1152</v>
      </c>
      <c r="B33" s="852" t="s">
        <v>72</v>
      </c>
      <c r="C33" s="1541">
        <v>0</v>
      </c>
      <c r="D33" s="1541">
        <v>3538678.49</v>
      </c>
      <c r="E33" s="852" t="e">
        <f>VLOOKUP(A33,'TB 18'!$A$3:$A$182,1,0)</f>
        <v>#N/A</v>
      </c>
    </row>
    <row r="34" spans="1:5">
      <c r="A34" s="853" t="s">
        <v>1153</v>
      </c>
      <c r="B34" s="852" t="s">
        <v>74</v>
      </c>
      <c r="C34" s="1541">
        <v>0</v>
      </c>
      <c r="D34" s="1541">
        <v>1500096.94</v>
      </c>
      <c r="E34" s="852" t="e">
        <f>VLOOKUP(A34,'TB 18'!$A$3:$A$182,1,0)</f>
        <v>#N/A</v>
      </c>
    </row>
    <row r="35" spans="1:5">
      <c r="A35" s="853" t="s">
        <v>1154</v>
      </c>
      <c r="B35" s="852" t="s">
        <v>76</v>
      </c>
      <c r="C35" s="1541">
        <v>2340591.9300000002</v>
      </c>
      <c r="D35" s="1541">
        <v>0</v>
      </c>
      <c r="E35" s="852" t="e">
        <f>VLOOKUP(A35,'TB 18'!$A$3:$A$182,1,0)</f>
        <v>#N/A</v>
      </c>
    </row>
    <row r="36" spans="1:5">
      <c r="A36" s="853" t="s">
        <v>1148</v>
      </c>
      <c r="B36" s="852" t="s">
        <v>57</v>
      </c>
      <c r="C36" s="1541">
        <v>0.70000000000000007</v>
      </c>
      <c r="D36" s="1541">
        <v>0</v>
      </c>
      <c r="E36" s="852" t="e">
        <f>VLOOKUP(A36,'TB 18'!$A$3:$A$182,1,0)</f>
        <v>#N/A</v>
      </c>
    </row>
    <row r="37" spans="1:5">
      <c r="A37" s="853" t="s">
        <v>1155</v>
      </c>
      <c r="B37" s="852" t="s">
        <v>78</v>
      </c>
      <c r="C37" s="1541">
        <v>85162266.230000004</v>
      </c>
      <c r="D37" s="1541">
        <v>0</v>
      </c>
      <c r="E37" s="852" t="e">
        <f>VLOOKUP(A37,'TB 18'!$A$3:$A$182,1,0)</f>
        <v>#N/A</v>
      </c>
    </row>
    <row r="38" spans="1:5">
      <c r="A38" s="853" t="s">
        <v>1188</v>
      </c>
      <c r="B38" s="852" t="s">
        <v>177</v>
      </c>
      <c r="C38" s="1541">
        <v>34685081</v>
      </c>
      <c r="D38" s="1541">
        <v>0</v>
      </c>
      <c r="E38" s="852" t="e">
        <f>VLOOKUP(A38,'TB 18'!$A$3:$A$182,1,0)</f>
        <v>#N/A</v>
      </c>
    </row>
    <row r="39" spans="1:5">
      <c r="A39" s="853" t="s">
        <v>1156</v>
      </c>
      <c r="B39" s="852" t="s">
        <v>80</v>
      </c>
      <c r="C39" s="1541">
        <v>0</v>
      </c>
      <c r="D39" s="1541">
        <v>74910000</v>
      </c>
      <c r="E39" s="852" t="e">
        <f>VLOOKUP(A39,'TB 18'!$A$3:$A$182,1,0)</f>
        <v>#N/A</v>
      </c>
    </row>
    <row r="40" spans="1:5">
      <c r="A40" s="853" t="s">
        <v>1157</v>
      </c>
      <c r="B40" s="852" t="s">
        <v>82</v>
      </c>
      <c r="C40" s="1541">
        <v>0</v>
      </c>
      <c r="D40" s="1541">
        <v>10252266</v>
      </c>
      <c r="E40" s="852" t="e">
        <f>VLOOKUP(A40,'TB 18'!$A$3:$A$182,1,0)</f>
        <v>#N/A</v>
      </c>
    </row>
    <row r="41" spans="1:5">
      <c r="A41" s="853" t="s">
        <v>1158</v>
      </c>
      <c r="B41" s="852" t="s">
        <v>84</v>
      </c>
      <c r="C41" s="1541">
        <v>0</v>
      </c>
      <c r="D41" s="1541">
        <v>0.23</v>
      </c>
      <c r="E41" s="852" t="e">
        <f>VLOOKUP(A41,'TB 18'!$A$3:$A$182,1,0)</f>
        <v>#N/A</v>
      </c>
    </row>
    <row r="42" spans="1:5">
      <c r="A42" s="853" t="s">
        <v>1189</v>
      </c>
      <c r="B42" s="852" t="s">
        <v>179</v>
      </c>
      <c r="C42" s="1541">
        <v>0</v>
      </c>
      <c r="D42" s="1541">
        <v>34685081</v>
      </c>
      <c r="E42" s="852" t="e">
        <f>VLOOKUP(A42,'TB 18'!$A$3:$A$182,1,0)</f>
        <v>#N/A</v>
      </c>
    </row>
    <row r="43" spans="1:5">
      <c r="A43" s="853" t="s">
        <v>1174</v>
      </c>
      <c r="B43" s="852" t="s">
        <v>146</v>
      </c>
      <c r="C43" s="1541">
        <v>595695.72</v>
      </c>
      <c r="D43" s="1541">
        <v>0</v>
      </c>
      <c r="E43" s="852" t="e">
        <f>VLOOKUP(A43,'TB 18'!$A$3:$A$182,1,0)</f>
        <v>#N/A</v>
      </c>
    </row>
    <row r="44" spans="1:5">
      <c r="A44" s="853" t="s">
        <v>1175</v>
      </c>
      <c r="B44" s="852" t="s">
        <v>148</v>
      </c>
      <c r="C44" s="1541">
        <v>343494.12</v>
      </c>
      <c r="D44" s="1541">
        <v>0</v>
      </c>
      <c r="E44" s="852" t="e">
        <f>VLOOKUP(A44,'TB 18'!$A$3:$A$182,1,0)</f>
        <v>#N/A</v>
      </c>
    </row>
    <row r="45" spans="1:5">
      <c r="A45" s="853" t="s">
        <v>1176</v>
      </c>
      <c r="B45" s="852" t="s">
        <v>150</v>
      </c>
      <c r="C45" s="1541">
        <v>4.7300000000000004</v>
      </c>
      <c r="D45" s="1541">
        <v>0</v>
      </c>
      <c r="E45" s="852" t="e">
        <f>VLOOKUP(A45,'TB 18'!$A$3:$A$182,1,0)</f>
        <v>#N/A</v>
      </c>
    </row>
    <row r="46" spans="1:5">
      <c r="A46" s="853" t="s">
        <v>1177</v>
      </c>
      <c r="B46" s="852" t="s">
        <v>152</v>
      </c>
      <c r="C46" s="1541">
        <v>19579.43</v>
      </c>
      <c r="D46" s="1541">
        <v>0</v>
      </c>
      <c r="E46" s="852" t="e">
        <f>VLOOKUP(A46,'TB 18'!$A$3:$A$182,1,0)</f>
        <v>#N/A</v>
      </c>
    </row>
    <row r="47" spans="1:5">
      <c r="A47" s="853" t="s">
        <v>1178</v>
      </c>
      <c r="B47" s="852" t="s">
        <v>154</v>
      </c>
      <c r="C47" s="1541">
        <v>23846.600000000002</v>
      </c>
      <c r="D47" s="1541">
        <v>0</v>
      </c>
      <c r="E47" s="852" t="e">
        <f>VLOOKUP(A47,'TB 18'!$A$3:$A$182,1,0)</f>
        <v>#N/A</v>
      </c>
    </row>
    <row r="48" spans="1:5">
      <c r="A48" s="853" t="s">
        <v>1179</v>
      </c>
      <c r="B48" s="852" t="s">
        <v>156</v>
      </c>
      <c r="C48" s="1541">
        <v>2.8000000000000003</v>
      </c>
      <c r="D48" s="1541">
        <v>0</v>
      </c>
      <c r="E48" s="852" t="e">
        <f>VLOOKUP(A48,'TB 18'!$A$3:$A$182,1,0)</f>
        <v>#N/A</v>
      </c>
    </row>
    <row r="49" spans="1:5">
      <c r="A49" s="853" t="s">
        <v>1180</v>
      </c>
      <c r="B49" s="852" t="s">
        <v>158</v>
      </c>
      <c r="C49" s="1541">
        <v>2.2600000000000002</v>
      </c>
      <c r="D49" s="1541">
        <v>0</v>
      </c>
      <c r="E49" s="852" t="e">
        <f>VLOOKUP(A49,'TB 18'!$A$3:$A$182,1,0)</f>
        <v>#N/A</v>
      </c>
    </row>
    <row r="50" spans="1:5">
      <c r="A50" s="853" t="s">
        <v>1181</v>
      </c>
      <c r="B50" s="852" t="s">
        <v>160</v>
      </c>
      <c r="C50" s="1541">
        <v>8.8800000000000008</v>
      </c>
      <c r="D50" s="1541">
        <v>0</v>
      </c>
      <c r="E50" s="852" t="e">
        <f>VLOOKUP(A50,'TB 18'!$A$3:$A$182,1,0)</f>
        <v>#N/A</v>
      </c>
    </row>
    <row r="51" spans="1:5">
      <c r="A51" s="853" t="s">
        <v>1974</v>
      </c>
      <c r="B51" s="852" t="s">
        <v>168</v>
      </c>
      <c r="C51" s="1541">
        <v>28008.670000000002</v>
      </c>
      <c r="D51" s="1541">
        <v>0</v>
      </c>
      <c r="E51" s="852" t="e">
        <f>VLOOKUP(A51,'TB 18'!$A$3:$A$182,1,0)</f>
        <v>#N/A</v>
      </c>
    </row>
    <row r="52" spans="1:5">
      <c r="A52" s="853" t="s">
        <v>1182</v>
      </c>
      <c r="B52" s="852" t="s">
        <v>162</v>
      </c>
      <c r="C52" s="1541">
        <v>12.39</v>
      </c>
      <c r="D52" s="1541">
        <v>0</v>
      </c>
      <c r="E52" s="852" t="e">
        <f>VLOOKUP(A52,'TB 18'!$A$3:$A$182,1,0)</f>
        <v>#N/A</v>
      </c>
    </row>
    <row r="53" spans="1:5">
      <c r="A53" s="853" t="s">
        <v>1183</v>
      </c>
      <c r="B53" s="852" t="s">
        <v>164</v>
      </c>
      <c r="C53" s="1541">
        <f>69398.21-175.7</f>
        <v>69222.510000000009</v>
      </c>
      <c r="D53" s="1541">
        <v>0</v>
      </c>
      <c r="E53" s="852" t="e">
        <f>VLOOKUP(A53,'TB 18'!$A$3:$A$182,1,0)</f>
        <v>#N/A</v>
      </c>
    </row>
    <row r="54" spans="1:5">
      <c r="A54" s="853" t="s">
        <v>1184</v>
      </c>
      <c r="B54" s="852" t="s">
        <v>166</v>
      </c>
      <c r="C54" s="1541">
        <v>1.9000000000000001</v>
      </c>
      <c r="D54" s="1541">
        <v>0</v>
      </c>
      <c r="E54" s="852" t="e">
        <f>VLOOKUP(A54,'TB 18'!$A$3:$A$182,1,0)</f>
        <v>#N/A</v>
      </c>
    </row>
    <row r="55" spans="1:5">
      <c r="A55" s="853" t="s">
        <v>1549</v>
      </c>
      <c r="B55" s="852" t="s">
        <v>1548</v>
      </c>
      <c r="C55" s="1541">
        <v>0</v>
      </c>
      <c r="D55" s="1541">
        <v>0.27</v>
      </c>
      <c r="E55" s="852" t="e">
        <f>VLOOKUP(A55,'TB 18'!$A$3:$A$182,1,0)</f>
        <v>#N/A</v>
      </c>
    </row>
    <row r="56" spans="1:5">
      <c r="A56" s="853"/>
      <c r="D56" s="2438"/>
    </row>
    <row r="57" spans="1:5">
      <c r="A57" s="853" t="s">
        <v>1555</v>
      </c>
      <c r="B57" s="852" t="s">
        <v>1554</v>
      </c>
      <c r="C57" s="1541">
        <v>2551133.7999999998</v>
      </c>
      <c r="D57" s="1541">
        <v>0</v>
      </c>
      <c r="E57" s="852" t="e">
        <f>VLOOKUP(A57,'TB 18'!$A$3:$A$182,1,0)</f>
        <v>#N/A</v>
      </c>
    </row>
    <row r="58" spans="1:5">
      <c r="A58" s="853" t="s">
        <v>1185</v>
      </c>
      <c r="B58" s="852" t="s">
        <v>168</v>
      </c>
      <c r="C58" s="1541">
        <v>8.58</v>
      </c>
      <c r="D58" s="1541">
        <v>0</v>
      </c>
      <c r="E58" s="852" t="e">
        <f>VLOOKUP(A58,'TB 18'!$A$3:$A$182,1,0)</f>
        <v>#N/A</v>
      </c>
    </row>
    <row r="59" spans="1:5">
      <c r="A59" s="853" t="s">
        <v>1190</v>
      </c>
      <c r="B59" s="852" t="s">
        <v>181</v>
      </c>
      <c r="C59" s="1541">
        <v>5090659.3499999996</v>
      </c>
      <c r="D59" s="1541">
        <v>0</v>
      </c>
      <c r="E59" s="852" t="e">
        <f>VLOOKUP(A59,'TB 18'!$A$3:$A$182,1,0)</f>
        <v>#N/A</v>
      </c>
    </row>
    <row r="60" spans="1:5">
      <c r="A60" s="853"/>
      <c r="D60" s="2439"/>
    </row>
    <row r="61" spans="1:5">
      <c r="A61" s="853" t="s">
        <v>1205</v>
      </c>
      <c r="B61" s="852" t="s">
        <v>244</v>
      </c>
      <c r="C61" s="1541">
        <v>2021493.66</v>
      </c>
      <c r="D61" s="1541">
        <v>0</v>
      </c>
      <c r="E61" s="852" t="e">
        <f>VLOOKUP(A61,'TB 18'!$A$3:$A$182,1,0)</f>
        <v>#N/A</v>
      </c>
    </row>
    <row r="62" spans="1:5">
      <c r="A62" s="853" t="s">
        <v>1206</v>
      </c>
      <c r="B62" s="852" t="s">
        <v>246</v>
      </c>
      <c r="C62" s="1541">
        <v>0.77</v>
      </c>
      <c r="D62" s="1541">
        <v>0</v>
      </c>
      <c r="E62" s="852" t="e">
        <f>VLOOKUP(A62,'TB 18'!$A$3:$A$182,1,0)</f>
        <v>#N/A</v>
      </c>
    </row>
    <row r="63" spans="1:5">
      <c r="A63" s="853" t="s">
        <v>1197</v>
      </c>
      <c r="B63" s="852" t="s">
        <v>209</v>
      </c>
      <c r="C63" s="1541">
        <v>216463.11000000002</v>
      </c>
      <c r="D63" s="1541">
        <v>0</v>
      </c>
      <c r="E63" s="852" t="e">
        <f>VLOOKUP(A63,'TB 18'!$A$3:$A$182,1,0)</f>
        <v>#N/A</v>
      </c>
    </row>
    <row r="64" spans="1:5">
      <c r="A64" s="853" t="s">
        <v>1198</v>
      </c>
      <c r="B64" s="852" t="s">
        <v>211</v>
      </c>
      <c r="C64" s="1541">
        <v>20519</v>
      </c>
      <c r="D64" s="1541">
        <v>0</v>
      </c>
      <c r="E64" s="852" t="e">
        <f>VLOOKUP(A64,'TB 18'!$A$3:$A$182,1,0)</f>
        <v>#N/A</v>
      </c>
    </row>
    <row r="65" spans="1:5">
      <c r="A65" s="853" t="s">
        <v>1201</v>
      </c>
      <c r="B65" s="852" t="s">
        <v>220</v>
      </c>
      <c r="C65" s="1541">
        <v>2500000</v>
      </c>
      <c r="D65" s="1541">
        <v>0</v>
      </c>
      <c r="E65" s="852" t="e">
        <f>VLOOKUP(A65,'TB 18'!$A$3:$A$182,1,0)</f>
        <v>#N/A</v>
      </c>
    </row>
    <row r="66" spans="1:5">
      <c r="A66" s="853" t="s">
        <v>1202</v>
      </c>
      <c r="B66" s="852" t="s">
        <v>225</v>
      </c>
      <c r="C66" s="1541">
        <v>200000</v>
      </c>
      <c r="D66" s="1541">
        <v>0</v>
      </c>
      <c r="E66" s="852" t="e">
        <f>VLOOKUP(A66,'TB 18'!$A$3:$A$182,1,0)</f>
        <v>#N/A</v>
      </c>
    </row>
    <row r="67" spans="1:5">
      <c r="A67" s="853" t="s">
        <v>1203</v>
      </c>
      <c r="B67" s="852" t="s">
        <v>234</v>
      </c>
      <c r="C67" s="1541">
        <v>26027.510000000002</v>
      </c>
      <c r="D67" s="1541">
        <v>0</v>
      </c>
      <c r="E67" s="852" t="e">
        <f>VLOOKUP(A67,'TB 18'!$A$3:$A$182,1,0)</f>
        <v>#N/A</v>
      </c>
    </row>
    <row r="68" spans="1:5">
      <c r="A68" s="853" t="s">
        <v>1215</v>
      </c>
      <c r="B68" s="852" t="s">
        <v>289</v>
      </c>
      <c r="C68" s="1541">
        <v>0.84</v>
      </c>
      <c r="D68" s="1541">
        <v>0</v>
      </c>
      <c r="E68" s="852" t="e">
        <f>VLOOKUP(A68,'TB 18'!$A$3:$A$182,1,0)</f>
        <v>#N/A</v>
      </c>
    </row>
    <row r="69" spans="1:5">
      <c r="A69" s="853" t="s">
        <v>1195</v>
      </c>
      <c r="B69" s="852" t="s">
        <v>202</v>
      </c>
      <c r="C69" s="1541">
        <v>92738.55</v>
      </c>
      <c r="D69" s="1541">
        <v>0</v>
      </c>
      <c r="E69" s="852" t="e">
        <f>VLOOKUP(A69,'TB 18'!$A$3:$A$182,1,0)</f>
        <v>#N/A</v>
      </c>
    </row>
    <row r="70" spans="1:5">
      <c r="A70" s="853" t="s">
        <v>1902</v>
      </c>
      <c r="B70" s="852" t="s">
        <v>1903</v>
      </c>
      <c r="C70" s="1541">
        <v>19123.43</v>
      </c>
      <c r="D70" s="1541">
        <v>0</v>
      </c>
      <c r="E70" s="852" t="e">
        <f>VLOOKUP(A70,'TB 18'!$A$3:$A$182,1,0)</f>
        <v>#N/A</v>
      </c>
    </row>
    <row r="71" spans="1:5">
      <c r="A71" s="853" t="s">
        <v>1204</v>
      </c>
      <c r="B71" s="852" t="s">
        <v>239</v>
      </c>
      <c r="C71" s="1541">
        <v>20645.37</v>
      </c>
      <c r="D71" s="1541">
        <v>0</v>
      </c>
      <c r="E71" s="852" t="e">
        <f>VLOOKUP(A71,'TB 18'!$A$3:$A$182,1,0)</f>
        <v>#N/A</v>
      </c>
    </row>
    <row r="72" spans="1:5">
      <c r="A72" s="853" t="s">
        <v>1199</v>
      </c>
      <c r="B72" s="852" t="s">
        <v>213</v>
      </c>
      <c r="C72" s="1541">
        <v>49977</v>
      </c>
      <c r="D72" s="1541">
        <v>0</v>
      </c>
      <c r="E72" s="852" t="e">
        <f>VLOOKUP(A72,'TB 18'!$A$3:$A$182,1,0)</f>
        <v>#N/A</v>
      </c>
    </row>
    <row r="73" spans="1:5">
      <c r="A73" s="853" t="s">
        <v>1558</v>
      </c>
      <c r="B73" s="852" t="s">
        <v>1557</v>
      </c>
      <c r="C73" s="1541">
        <v>69999.78</v>
      </c>
      <c r="D73" s="1541">
        <v>0</v>
      </c>
      <c r="E73" s="852" t="e">
        <f>VLOOKUP(A73,'TB 18'!$A$3:$A$182,1,0)</f>
        <v>#N/A</v>
      </c>
    </row>
    <row r="74" spans="1:5">
      <c r="A74" s="853" t="s">
        <v>1561</v>
      </c>
      <c r="B74" s="852" t="s">
        <v>1560</v>
      </c>
      <c r="C74" s="1541">
        <v>0</v>
      </c>
      <c r="D74" s="1541">
        <v>24493.920000000002</v>
      </c>
      <c r="E74" s="852" t="e">
        <f>VLOOKUP(A74,'TB 18'!$A$3:$A$182,1,0)</f>
        <v>#N/A</v>
      </c>
    </row>
    <row r="75" spans="1:5">
      <c r="A75" s="853" t="s">
        <v>1234</v>
      </c>
      <c r="B75" s="852" t="s">
        <v>350</v>
      </c>
      <c r="C75" s="1541">
        <v>0</v>
      </c>
      <c r="D75" s="1541">
        <v>38967972.270000003</v>
      </c>
      <c r="E75" s="852" t="e">
        <f>VLOOKUP(A75,'TB 18'!$A$3:$A$182,1,0)</f>
        <v>#N/A</v>
      </c>
    </row>
    <row r="76" spans="1:5">
      <c r="A76" s="853" t="s">
        <v>1235</v>
      </c>
      <c r="B76" s="852" t="s">
        <v>352</v>
      </c>
      <c r="C76" s="1541">
        <v>49729921.270000003</v>
      </c>
      <c r="D76" s="1541">
        <v>0</v>
      </c>
      <c r="E76" s="852" t="e">
        <f>VLOOKUP(A76,'TB 18'!$A$3:$A$182,1,0)</f>
        <v>#N/A</v>
      </c>
    </row>
    <row r="77" spans="1:5">
      <c r="A77" s="853" t="s">
        <v>1236</v>
      </c>
      <c r="B77" s="852" t="s">
        <v>354</v>
      </c>
      <c r="C77" s="1541">
        <v>0</v>
      </c>
      <c r="D77" s="1541">
        <v>121360450.20999999</v>
      </c>
      <c r="E77" s="852" t="e">
        <f>VLOOKUP(A77,'TB 18'!$A$3:$A$182,1,0)</f>
        <v>#N/A</v>
      </c>
    </row>
    <row r="78" spans="1:5">
      <c r="A78" s="853" t="s">
        <v>1237</v>
      </c>
      <c r="B78" s="852" t="s">
        <v>356</v>
      </c>
      <c r="C78" s="1541">
        <v>99147870.900000006</v>
      </c>
      <c r="D78" s="1541">
        <v>0</v>
      </c>
      <c r="E78" s="852" t="e">
        <f>VLOOKUP(A78,'TB 18'!$A$3:$A$182,1,0)</f>
        <v>#N/A</v>
      </c>
    </row>
    <row r="79" spans="1:5">
      <c r="A79" s="853" t="s">
        <v>1240</v>
      </c>
      <c r="B79" s="852" t="s">
        <v>365</v>
      </c>
      <c r="C79" s="1541">
        <v>0</v>
      </c>
      <c r="D79" s="1541">
        <v>91128.21</v>
      </c>
      <c r="E79" s="852" t="e">
        <f>VLOOKUP(A79,'TB 18'!$A$3:$A$182,1,0)</f>
        <v>#N/A</v>
      </c>
    </row>
    <row r="80" spans="1:5" s="2427" customFormat="1">
      <c r="A80" s="2426" t="s">
        <v>1238</v>
      </c>
      <c r="B80" s="2427" t="s">
        <v>358</v>
      </c>
      <c r="C80" s="2428">
        <v>1037876.47</v>
      </c>
      <c r="D80" s="2422">
        <v>0</v>
      </c>
      <c r="E80" s="2427" t="e">
        <f>VLOOKUP(A80,'TB 18'!$A$3:$A$182,1,0)</f>
        <v>#N/A</v>
      </c>
    </row>
    <row r="81" spans="1:7" s="2427" customFormat="1">
      <c r="A81" s="2426" t="s">
        <v>1239</v>
      </c>
      <c r="B81" s="2427" t="s">
        <v>360</v>
      </c>
      <c r="C81" s="2428">
        <v>0</v>
      </c>
      <c r="D81" s="2428">
        <v>697759578.5</v>
      </c>
      <c r="E81" s="2427" t="e">
        <f>VLOOKUP(A81,'TB 18'!$A$3:$A$182,1,0)</f>
        <v>#N/A</v>
      </c>
    </row>
    <row r="82" spans="1:7" s="2427" customFormat="1">
      <c r="A82" s="2426" t="s">
        <v>1207</v>
      </c>
      <c r="B82" s="2427" t="s">
        <v>255</v>
      </c>
      <c r="C82" s="2428">
        <v>0</v>
      </c>
      <c r="D82" s="2422">
        <v>959589.75</v>
      </c>
      <c r="E82" s="2427" t="e">
        <f>VLOOKUP(A82,'TB 18'!$A$3:$A$182,1,0)</f>
        <v>#N/A</v>
      </c>
    </row>
    <row r="83" spans="1:7" s="2427" customFormat="1">
      <c r="A83" s="2426" t="s">
        <v>1216</v>
      </c>
      <c r="B83" s="2427" t="s">
        <v>290</v>
      </c>
      <c r="C83" s="2428">
        <v>0</v>
      </c>
      <c r="D83" s="2422">
        <v>134482.73000000001</v>
      </c>
      <c r="E83" s="2427" t="e">
        <f>VLOOKUP(A83,'TB 18'!$A$3:$A$182,1,0)</f>
        <v>#N/A</v>
      </c>
    </row>
    <row r="84" spans="1:7" s="2427" customFormat="1">
      <c r="A84" s="2426"/>
      <c r="C84" s="2428"/>
      <c r="D84" s="2422"/>
    </row>
    <row r="85" spans="1:7" s="2427" customFormat="1">
      <c r="A85" s="2426" t="s">
        <v>1208</v>
      </c>
      <c r="B85" s="2427" t="s">
        <v>257</v>
      </c>
      <c r="C85" s="2428">
        <v>0</v>
      </c>
      <c r="D85" s="2422">
        <v>124734.17</v>
      </c>
      <c r="E85" s="2427" t="e">
        <f>VLOOKUP(A85,'TB 18'!$A$3:$A$182,1,0)</f>
        <v>#N/A</v>
      </c>
      <c r="F85" s="2431"/>
    </row>
    <row r="86" spans="1:7" s="2427" customFormat="1">
      <c r="A86" s="2426" t="s">
        <v>1217</v>
      </c>
      <c r="B86" s="2427" t="s">
        <v>292</v>
      </c>
      <c r="C86" s="2428">
        <v>0</v>
      </c>
      <c r="D86" s="2422">
        <v>16589808.17</v>
      </c>
      <c r="E86" s="2427" t="e">
        <f>VLOOKUP(A86,'TB 18'!$A$3:$A$182,1,0)</f>
        <v>#N/A</v>
      </c>
      <c r="F86" s="2431"/>
    </row>
    <row r="87" spans="1:7" s="2427" customFormat="1">
      <c r="A87" s="2426" t="s">
        <v>1218</v>
      </c>
      <c r="B87" s="2427" t="s">
        <v>293</v>
      </c>
      <c r="C87" s="2428">
        <v>0</v>
      </c>
      <c r="D87" s="2422">
        <v>5836.38</v>
      </c>
      <c r="E87" s="2427" t="e">
        <f>VLOOKUP(A87,'TB 18'!$A$3:$A$182,1,0)</f>
        <v>#N/A</v>
      </c>
      <c r="F87" s="2431"/>
    </row>
    <row r="88" spans="1:7" s="2427" customFormat="1">
      <c r="A88" s="2426" t="s">
        <v>1219</v>
      </c>
      <c r="B88" s="2427" t="s">
        <v>295</v>
      </c>
      <c r="C88" s="2428">
        <v>0</v>
      </c>
      <c r="D88" s="2422">
        <v>4746222</v>
      </c>
      <c r="E88" s="2427" t="e">
        <f>VLOOKUP(A88,'TB 18'!$A$3:$A$182,1,0)</f>
        <v>#N/A</v>
      </c>
    </row>
    <row r="89" spans="1:7" s="2427" customFormat="1">
      <c r="A89" s="2426" t="s">
        <v>1211</v>
      </c>
      <c r="B89" s="2427" t="s">
        <v>265</v>
      </c>
      <c r="C89" s="2428">
        <v>0</v>
      </c>
      <c r="D89" s="2422">
        <v>44880.090000000004</v>
      </c>
      <c r="E89" s="2427" t="e">
        <f>VLOOKUP(A89,'TB 18'!$A$3:$A$182,1,0)</f>
        <v>#N/A</v>
      </c>
    </row>
    <row r="90" spans="1:7" s="2427" customFormat="1">
      <c r="A90" s="2426" t="s">
        <v>1212</v>
      </c>
      <c r="B90" s="2427" t="s">
        <v>270</v>
      </c>
      <c r="C90" s="2428">
        <v>0</v>
      </c>
      <c r="D90" s="2422">
        <v>35612.590000000004</v>
      </c>
      <c r="E90" s="2427" t="e">
        <f>VLOOKUP(A90,'TB 18'!$A$3:$A$182,1,0)</f>
        <v>#N/A</v>
      </c>
    </row>
    <row r="91" spans="1:7" s="2427" customFormat="1">
      <c r="A91" s="2426" t="s">
        <v>1213</v>
      </c>
      <c r="B91" s="2427" t="s">
        <v>275</v>
      </c>
      <c r="C91" s="2428">
        <v>0</v>
      </c>
      <c r="D91" s="2422">
        <v>2078661.67</v>
      </c>
      <c r="E91" s="2427" t="e">
        <f>VLOOKUP(A91,'TB 18'!$A$3:$A$182,1,0)</f>
        <v>#N/A</v>
      </c>
    </row>
    <row r="92" spans="1:7" s="2427" customFormat="1">
      <c r="A92" s="2426" t="s">
        <v>1222</v>
      </c>
      <c r="B92" s="2427" t="s">
        <v>301</v>
      </c>
      <c r="C92" s="2428">
        <v>0</v>
      </c>
      <c r="D92" s="2422">
        <v>19462.25</v>
      </c>
      <c r="E92" s="2427" t="e">
        <f>VLOOKUP(A92,'TB 18'!$A$3:$A$182,1,0)</f>
        <v>#N/A</v>
      </c>
    </row>
    <row r="93" spans="1:7" s="2427" customFormat="1">
      <c r="A93" s="2426" t="s">
        <v>1224</v>
      </c>
      <c r="B93" s="2427" t="s">
        <v>305</v>
      </c>
      <c r="C93" s="2428">
        <v>0</v>
      </c>
      <c r="D93" s="2422">
        <v>6905560.2199999997</v>
      </c>
      <c r="E93" s="2427" t="e">
        <f>VLOOKUP(A93,'TB 18'!$A$3:$A$182,1,0)</f>
        <v>#N/A</v>
      </c>
    </row>
    <row r="94" spans="1:7" s="2427" customFormat="1">
      <c r="A94" s="2426" t="s">
        <v>1225</v>
      </c>
      <c r="B94" s="2427" t="s">
        <v>307</v>
      </c>
      <c r="C94" s="2428">
        <v>0</v>
      </c>
      <c r="D94" s="2422">
        <v>483037.95</v>
      </c>
      <c r="E94" s="2427" t="e">
        <f>VLOOKUP(A94,'TB 18'!$A$3:$A$182,1,0)</f>
        <v>#N/A</v>
      </c>
    </row>
    <row r="95" spans="1:7" s="2427" customFormat="1">
      <c r="A95" s="2426" t="s">
        <v>1226</v>
      </c>
      <c r="B95" s="2427" t="s">
        <v>309</v>
      </c>
      <c r="C95" s="2428">
        <v>0</v>
      </c>
      <c r="D95" s="2422">
        <v>28673</v>
      </c>
      <c r="E95" s="2427" t="e">
        <f>VLOOKUP(A95,'TB 18'!$A$3:$A$182,1,0)</f>
        <v>#N/A</v>
      </c>
    </row>
    <row r="96" spans="1:7" s="2427" customFormat="1">
      <c r="A96" s="2426" t="s">
        <v>1209</v>
      </c>
      <c r="B96" s="2427" t="s">
        <v>258</v>
      </c>
      <c r="C96" s="2428">
        <v>0</v>
      </c>
      <c r="D96" s="2422">
        <v>92166.49</v>
      </c>
      <c r="E96" s="2427" t="e">
        <f>VLOOKUP(A96,'TB 18'!$A$3:$A$182,1,0)</f>
        <v>#N/A</v>
      </c>
      <c r="F96" s="2423">
        <f>D96-C97</f>
        <v>92166.49</v>
      </c>
      <c r="G96" s="2431"/>
    </row>
    <row r="97" spans="1:5" s="2427" customFormat="1">
      <c r="A97" s="2426" t="s">
        <v>1228</v>
      </c>
      <c r="B97" s="2427" t="s">
        <v>313</v>
      </c>
      <c r="C97" s="2422">
        <v>0</v>
      </c>
      <c r="D97" s="2428">
        <v>14023.54</v>
      </c>
      <c r="E97" s="2427" t="e">
        <f>VLOOKUP(A97,'TB 18'!$A$3:$A$182,1,0)</f>
        <v>#N/A</v>
      </c>
    </row>
    <row r="98" spans="1:5" s="2427" customFormat="1">
      <c r="A98" s="2426" t="s">
        <v>1230</v>
      </c>
      <c r="B98" s="2427" t="s">
        <v>317</v>
      </c>
      <c r="C98" s="2428">
        <v>0</v>
      </c>
      <c r="D98" s="2422">
        <v>65204.6</v>
      </c>
      <c r="E98" s="2427" t="e">
        <f>VLOOKUP(A98,'TB 18'!$A$3:$A$182,1,0)</f>
        <v>#N/A</v>
      </c>
    </row>
    <row r="99" spans="1:5">
      <c r="A99" s="853" t="s">
        <v>1342</v>
      </c>
      <c r="B99" s="852" t="s">
        <v>1341</v>
      </c>
      <c r="C99" s="1541">
        <v>0</v>
      </c>
      <c r="D99" s="1541">
        <v>30000000</v>
      </c>
      <c r="E99" s="852" t="e">
        <f>VLOOKUP(A99,'TB 18'!$A$3:$A$182,1,0)</f>
        <v>#N/A</v>
      </c>
    </row>
    <row r="100" spans="1:5">
      <c r="A100" s="853" t="s">
        <v>1210</v>
      </c>
      <c r="B100" s="852" t="s">
        <v>260</v>
      </c>
      <c r="C100" s="1541">
        <v>0</v>
      </c>
      <c r="D100" s="1541">
        <v>1011364.18</v>
      </c>
      <c r="E100" s="852" t="e">
        <f>VLOOKUP(A100,'TB 18'!$A$3:$A$182,1,0)</f>
        <v>#N/A</v>
      </c>
    </row>
    <row r="101" spans="1:5">
      <c r="A101" s="853" t="s">
        <v>1908</v>
      </c>
      <c r="B101" s="852" t="s">
        <v>1909</v>
      </c>
      <c r="C101" s="1541">
        <v>951562.64</v>
      </c>
      <c r="D101" s="1541">
        <v>0</v>
      </c>
      <c r="E101" s="852" t="e">
        <f>VLOOKUP(A101,'TB 18'!$A$3:$A$182,1,0)</f>
        <v>#N/A</v>
      </c>
    </row>
    <row r="102" spans="1:5">
      <c r="A102" s="853" t="s">
        <v>2252</v>
      </c>
      <c r="B102" s="852" t="s">
        <v>2253</v>
      </c>
      <c r="C102" s="1541">
        <v>0</v>
      </c>
      <c r="D102" s="1541">
        <v>815836.12</v>
      </c>
      <c r="E102" s="852" t="e">
        <f>VLOOKUP(A102,'TB 18'!$A$3:$A$182,1,0)</f>
        <v>#N/A</v>
      </c>
    </row>
    <row r="103" spans="1:5">
      <c r="A103" s="853" t="s">
        <v>1242</v>
      </c>
      <c r="B103" s="852" t="s">
        <v>375</v>
      </c>
      <c r="C103" s="1541">
        <v>0</v>
      </c>
      <c r="D103" s="1541">
        <v>690479.70000000007</v>
      </c>
      <c r="E103" s="852" t="e">
        <f>VLOOKUP(A103,'TB 18'!$A$3:$A$182,1,0)</f>
        <v>#N/A</v>
      </c>
    </row>
    <row r="104" spans="1:5">
      <c r="A104" s="853" t="s">
        <v>1243</v>
      </c>
      <c r="B104" s="852" t="s">
        <v>377</v>
      </c>
      <c r="C104" s="1541">
        <v>0</v>
      </c>
      <c r="D104" s="1541">
        <v>4913184</v>
      </c>
      <c r="E104" s="852" t="e">
        <f>VLOOKUP(A104,'TB 18'!$A$3:$A$182,1,0)</f>
        <v>#N/A</v>
      </c>
    </row>
    <row r="105" spans="1:5">
      <c r="A105" s="853" t="s">
        <v>1244</v>
      </c>
      <c r="B105" s="852" t="s">
        <v>379</v>
      </c>
      <c r="C105" s="1541">
        <v>0</v>
      </c>
      <c r="D105" s="1541">
        <v>486874.75</v>
      </c>
      <c r="E105" s="852" t="e">
        <f>VLOOKUP(A105,'TB 18'!$A$3:$A$182,1,0)</f>
        <v>#N/A</v>
      </c>
    </row>
    <row r="106" spans="1:5">
      <c r="A106" s="853" t="s">
        <v>1279</v>
      </c>
      <c r="B106" s="852" t="s">
        <v>489</v>
      </c>
      <c r="C106" s="1541">
        <v>325835.45</v>
      </c>
      <c r="D106" s="1541">
        <v>0</v>
      </c>
      <c r="E106" s="852" t="e">
        <f>VLOOKUP(A106,'TB 18'!$A$3:$A$182,1,0)</f>
        <v>#N/A</v>
      </c>
    </row>
    <row r="107" spans="1:5">
      <c r="A107" s="853" t="s">
        <v>1280</v>
      </c>
      <c r="B107" s="852" t="s">
        <v>491</v>
      </c>
      <c r="C107" s="1541">
        <v>0</v>
      </c>
      <c r="D107" s="1541">
        <v>0.05</v>
      </c>
      <c r="E107" s="852" t="e">
        <f>VLOOKUP(A107,'TB 18'!$A$3:$A$182,1,0)</f>
        <v>#N/A</v>
      </c>
    </row>
    <row r="108" spans="1:5">
      <c r="A108" s="853" t="s">
        <v>1281</v>
      </c>
      <c r="B108" s="852" t="s">
        <v>493</v>
      </c>
      <c r="C108" s="1541">
        <v>47627</v>
      </c>
      <c r="D108" s="1541">
        <v>0</v>
      </c>
      <c r="E108" s="852" t="e">
        <f>VLOOKUP(A108,'TB 18'!$A$3:$A$182,1,0)</f>
        <v>#N/A</v>
      </c>
    </row>
    <row r="109" spans="1:5">
      <c r="A109" s="853" t="s">
        <v>1260</v>
      </c>
      <c r="B109" s="852" t="s">
        <v>447</v>
      </c>
      <c r="C109" s="1541">
        <v>0</v>
      </c>
      <c r="D109" s="1541">
        <v>1738129</v>
      </c>
      <c r="E109" s="852" t="e">
        <f>VLOOKUP(A109,'TB 18'!$A$3:$A$182,1,0)</f>
        <v>#N/A</v>
      </c>
    </row>
    <row r="110" spans="1:5">
      <c r="A110" s="853" t="s">
        <v>1261</v>
      </c>
      <c r="B110" s="852" t="s">
        <v>449</v>
      </c>
      <c r="C110" s="1541">
        <v>0</v>
      </c>
      <c r="D110" s="1541">
        <v>365719</v>
      </c>
      <c r="E110" s="852" t="e">
        <f>VLOOKUP(A110,'TB 18'!$A$3:$A$182,1,0)</f>
        <v>#N/A</v>
      </c>
    </row>
    <row r="111" spans="1:5">
      <c r="A111" s="853" t="s">
        <v>1262</v>
      </c>
      <c r="B111" s="852" t="s">
        <v>451</v>
      </c>
      <c r="C111" s="1541">
        <v>0</v>
      </c>
      <c r="D111" s="1541">
        <v>156</v>
      </c>
      <c r="E111" s="852" t="e">
        <f>VLOOKUP(A111,'TB 18'!$A$3:$A$182,1,0)</f>
        <v>#N/A</v>
      </c>
    </row>
    <row r="112" spans="1:5">
      <c r="A112" s="853" t="s">
        <v>1263</v>
      </c>
      <c r="B112" s="852" t="s">
        <v>453</v>
      </c>
      <c r="C112" s="1541">
        <v>0</v>
      </c>
      <c r="D112" s="1541">
        <v>75334</v>
      </c>
      <c r="E112" s="852" t="e">
        <f>VLOOKUP(A112,'TB 18'!$A$3:$A$182,1,0)</f>
        <v>#N/A</v>
      </c>
    </row>
    <row r="113" spans="1:5">
      <c r="A113" s="853" t="s">
        <v>1264</v>
      </c>
      <c r="B113" s="852" t="s">
        <v>455</v>
      </c>
      <c r="C113" s="1541">
        <v>0</v>
      </c>
      <c r="D113" s="1541">
        <v>65854</v>
      </c>
      <c r="E113" s="852" t="e">
        <f>VLOOKUP(A113,'TB 18'!$A$3:$A$182,1,0)</f>
        <v>#N/A</v>
      </c>
    </row>
    <row r="114" spans="1:5">
      <c r="A114" s="853" t="s">
        <v>1265</v>
      </c>
      <c r="B114" s="852" t="s">
        <v>457</v>
      </c>
      <c r="C114" s="1541">
        <v>0</v>
      </c>
      <c r="D114" s="1541">
        <v>22690</v>
      </c>
      <c r="E114" s="852" t="e">
        <f>VLOOKUP(A114,'TB 18'!$A$3:$A$182,1,0)</f>
        <v>#N/A</v>
      </c>
    </row>
    <row r="115" spans="1:5">
      <c r="A115" s="853" t="s">
        <v>1266</v>
      </c>
      <c r="B115" s="852" t="s">
        <v>459</v>
      </c>
      <c r="C115" s="1541">
        <v>0</v>
      </c>
      <c r="D115" s="1541">
        <v>100</v>
      </c>
      <c r="E115" s="852" t="e">
        <f>VLOOKUP(A115,'TB 18'!$A$3:$A$182,1,0)</f>
        <v>#N/A</v>
      </c>
    </row>
    <row r="116" spans="1:5">
      <c r="A116" s="853" t="s">
        <v>1269</v>
      </c>
      <c r="B116" s="852" t="s">
        <v>465</v>
      </c>
      <c r="C116" s="1541">
        <v>0</v>
      </c>
      <c r="D116" s="1541">
        <v>57</v>
      </c>
      <c r="E116" s="852" t="e">
        <f>VLOOKUP(A116,'TB 18'!$A$3:$A$182,1,0)</f>
        <v>#N/A</v>
      </c>
    </row>
    <row r="117" spans="1:5">
      <c r="A117" s="853" t="s">
        <v>1270</v>
      </c>
      <c r="B117" s="852" t="s">
        <v>467</v>
      </c>
      <c r="C117" s="1541">
        <v>0</v>
      </c>
      <c r="D117" s="1541">
        <v>234</v>
      </c>
      <c r="E117" s="852" t="e">
        <f>VLOOKUP(A117,'TB 18'!$A$3:$A$182,1,0)</f>
        <v>#N/A</v>
      </c>
    </row>
    <row r="118" spans="1:5">
      <c r="A118" s="853" t="s">
        <v>1271</v>
      </c>
      <c r="B118" s="852" t="s">
        <v>469</v>
      </c>
      <c r="C118" s="1541">
        <v>0</v>
      </c>
      <c r="D118" s="1541">
        <v>331</v>
      </c>
      <c r="E118" s="852" t="e">
        <f>VLOOKUP(A118,'TB 18'!$A$3:$A$182,1,0)</f>
        <v>#N/A</v>
      </c>
    </row>
    <row r="119" spans="1:5">
      <c r="A119" s="853" t="s">
        <v>1272</v>
      </c>
      <c r="B119" s="852" t="s">
        <v>471</v>
      </c>
      <c r="C119" s="1541">
        <v>0</v>
      </c>
      <c r="D119" s="1541">
        <v>3260323</v>
      </c>
      <c r="E119" s="852" t="e">
        <f>VLOOKUP(A119,'TB 18'!$A$3:$A$182,1,0)</f>
        <v>#N/A</v>
      </c>
    </row>
    <row r="120" spans="1:5">
      <c r="A120" s="853" t="s">
        <v>1273</v>
      </c>
      <c r="B120" s="852" t="s">
        <v>473</v>
      </c>
      <c r="C120" s="1541">
        <v>0</v>
      </c>
      <c r="D120" s="1541">
        <v>53</v>
      </c>
      <c r="E120" s="852" t="e">
        <f>VLOOKUP(A120,'TB 18'!$A$3:$A$182,1,0)</f>
        <v>#N/A</v>
      </c>
    </row>
    <row r="121" spans="1:5">
      <c r="A121" s="853" t="s">
        <v>1274</v>
      </c>
      <c r="B121" s="852" t="s">
        <v>475</v>
      </c>
      <c r="C121" s="1541">
        <v>0</v>
      </c>
      <c r="D121" s="1541">
        <v>99</v>
      </c>
      <c r="E121" s="852" t="e">
        <f>VLOOKUP(A121,'TB 18'!$A$3:$A$182,1,0)</f>
        <v>#N/A</v>
      </c>
    </row>
    <row r="122" spans="1:5">
      <c r="A122" s="853" t="s">
        <v>1275</v>
      </c>
      <c r="B122" s="852" t="s">
        <v>477</v>
      </c>
      <c r="C122" s="1541">
        <v>0</v>
      </c>
      <c r="D122" s="1541">
        <v>16958</v>
      </c>
      <c r="E122" s="852" t="e">
        <f>VLOOKUP(A122,'TB 18'!$A$3:$A$182,1,0)</f>
        <v>#N/A</v>
      </c>
    </row>
    <row r="123" spans="1:5">
      <c r="A123" s="853" t="s">
        <v>1276</v>
      </c>
      <c r="B123" s="852" t="s">
        <v>479</v>
      </c>
      <c r="C123" s="1541">
        <v>0</v>
      </c>
      <c r="D123" s="1541">
        <v>71</v>
      </c>
      <c r="E123" s="852" t="e">
        <f>VLOOKUP(A123,'TB 18'!$A$3:$A$182,1,0)</f>
        <v>#N/A</v>
      </c>
    </row>
    <row r="124" spans="1:5">
      <c r="A124" s="853" t="s">
        <v>1277</v>
      </c>
      <c r="B124" s="852" t="s">
        <v>481</v>
      </c>
      <c r="C124" s="1541">
        <v>0</v>
      </c>
      <c r="D124" s="1541">
        <v>14023</v>
      </c>
      <c r="E124" s="852" t="e">
        <f>VLOOKUP(A124,'TB 18'!$A$3:$A$182,1,0)</f>
        <v>#N/A</v>
      </c>
    </row>
    <row r="125" spans="1:5">
      <c r="A125" s="853" t="s">
        <v>1567</v>
      </c>
      <c r="B125" s="852" t="s">
        <v>1566</v>
      </c>
      <c r="C125" s="1541">
        <v>0</v>
      </c>
      <c r="D125" s="1541">
        <v>648</v>
      </c>
      <c r="E125" s="852" t="e">
        <f>VLOOKUP(A125,'TB 18'!$A$3:$A$182,1,0)</f>
        <v>#N/A</v>
      </c>
    </row>
    <row r="126" spans="1:5">
      <c r="A126" s="853" t="s">
        <v>1570</v>
      </c>
      <c r="B126" s="852" t="s">
        <v>1569</v>
      </c>
      <c r="C126" s="1541">
        <v>0</v>
      </c>
      <c r="D126" s="1541">
        <v>202</v>
      </c>
      <c r="E126" s="852" t="e">
        <f>VLOOKUP(A126,'TB 18'!$A$3:$A$182,1,0)</f>
        <v>#N/A</v>
      </c>
    </row>
    <row r="127" spans="1:5">
      <c r="A127" s="853" t="s">
        <v>1912</v>
      </c>
      <c r="B127" s="852" t="s">
        <v>1913</v>
      </c>
      <c r="C127" s="1541">
        <v>0</v>
      </c>
      <c r="D127" s="1541">
        <v>39010</v>
      </c>
      <c r="E127" s="852" t="e">
        <f>VLOOKUP(A127,'TB 18'!$A$3:$A$182,1,0)</f>
        <v>#N/A</v>
      </c>
    </row>
    <row r="128" spans="1:5">
      <c r="A128" s="853" t="s">
        <v>1573</v>
      </c>
      <c r="B128" s="852" t="s">
        <v>1572</v>
      </c>
      <c r="C128" s="1541">
        <v>0</v>
      </c>
      <c r="D128" s="1541">
        <v>3202345</v>
      </c>
      <c r="E128" s="852" t="e">
        <f>VLOOKUP(A128,'TB 18'!$A$3:$A$182,1,0)</f>
        <v>#N/A</v>
      </c>
    </row>
    <row r="129" spans="1:5">
      <c r="A129" s="853" t="s">
        <v>2254</v>
      </c>
      <c r="B129" s="852" t="s">
        <v>2255</v>
      </c>
      <c r="C129" s="1541">
        <v>0</v>
      </c>
      <c r="D129" s="1541">
        <v>207</v>
      </c>
      <c r="E129" s="852" t="e">
        <f>VLOOKUP(A129,'TB 18'!$A$3:$A$182,1,0)</f>
        <v>#N/A</v>
      </c>
    </row>
    <row r="130" spans="1:5">
      <c r="A130" s="853" t="s">
        <v>1247</v>
      </c>
      <c r="B130" s="852" t="s">
        <v>397</v>
      </c>
      <c r="C130" s="1541">
        <v>0</v>
      </c>
      <c r="D130" s="1541">
        <v>7961463.5199999996</v>
      </c>
      <c r="E130" s="852" t="e">
        <f>VLOOKUP(A130,'TB 18'!$A$3:$A$182,1,0)</f>
        <v>#N/A</v>
      </c>
    </row>
    <row r="131" spans="1:5">
      <c r="A131" s="853" t="s">
        <v>1252</v>
      </c>
      <c r="B131" s="852" t="s">
        <v>410</v>
      </c>
      <c r="C131" s="1541">
        <v>0</v>
      </c>
      <c r="D131" s="1541">
        <v>865296.97</v>
      </c>
      <c r="E131" s="852" t="e">
        <f>VLOOKUP(A131,'TB 18'!$A$3:$A$182,1,0)</f>
        <v>#N/A</v>
      </c>
    </row>
    <row r="132" spans="1:5">
      <c r="A132" s="853" t="s">
        <v>1249</v>
      </c>
      <c r="B132" s="852" t="s">
        <v>400</v>
      </c>
      <c r="C132" s="1541">
        <v>0</v>
      </c>
      <c r="D132" s="1541">
        <v>102581.21</v>
      </c>
      <c r="E132" s="852" t="e">
        <f>VLOOKUP(A132,'TB 18'!$A$3:$A$182,1,0)</f>
        <v>#N/A</v>
      </c>
    </row>
    <row r="133" spans="1:5">
      <c r="A133" s="853" t="s">
        <v>1253</v>
      </c>
      <c r="B133" s="852" t="s">
        <v>412</v>
      </c>
      <c r="C133" s="1541">
        <v>0</v>
      </c>
      <c r="D133" s="1541">
        <v>349165.95</v>
      </c>
      <c r="E133" s="852" t="e">
        <f>VLOOKUP(A133,'TB 18'!$A$3:$A$182,1,0)</f>
        <v>#N/A</v>
      </c>
    </row>
    <row r="134" spans="1:5">
      <c r="A134" s="853" t="s">
        <v>1254</v>
      </c>
      <c r="B134" s="852" t="s">
        <v>414</v>
      </c>
      <c r="C134" s="1541">
        <v>0</v>
      </c>
      <c r="D134" s="1541">
        <v>7073425.1900000004</v>
      </c>
      <c r="E134" s="852" t="e">
        <f>VLOOKUP(A134,'TB 18'!$A$3:$A$182,1,0)</f>
        <v>#N/A</v>
      </c>
    </row>
    <row r="135" spans="1:5">
      <c r="A135" s="853" t="s">
        <v>1257</v>
      </c>
      <c r="B135" s="852" t="s">
        <v>433</v>
      </c>
      <c r="C135" s="1541">
        <v>0</v>
      </c>
      <c r="D135" s="1541">
        <v>44862.43</v>
      </c>
      <c r="E135" s="852" t="e">
        <f>VLOOKUP(A135,'TB 18'!$A$3:$A$182,1,0)</f>
        <v>#N/A</v>
      </c>
    </row>
    <row r="136" spans="1:5">
      <c r="A136" s="853" t="s">
        <v>1329</v>
      </c>
      <c r="B136" s="852" t="s">
        <v>661</v>
      </c>
      <c r="C136" s="1541">
        <v>91128.21</v>
      </c>
      <c r="D136" s="1541">
        <v>0</v>
      </c>
      <c r="E136" s="852" t="e">
        <f>VLOOKUP(A136,'TB 18'!$A$3:$A$182,1,0)</f>
        <v>#N/A</v>
      </c>
    </row>
    <row r="137" spans="1:5">
      <c r="A137" s="853" t="s">
        <v>1330</v>
      </c>
      <c r="B137" s="852" t="s">
        <v>666</v>
      </c>
      <c r="C137" s="1541">
        <v>0</v>
      </c>
      <c r="D137" s="1541">
        <v>1037876.47</v>
      </c>
      <c r="E137" s="852" t="e">
        <f>VLOOKUP(A137,'TB 18'!$A$3:$A$182,1,0)</f>
        <v>#N/A</v>
      </c>
    </row>
    <row r="138" spans="1:5">
      <c r="A138" s="853" t="s">
        <v>1285</v>
      </c>
      <c r="B138" s="852" t="s">
        <v>511</v>
      </c>
      <c r="C138" s="1541">
        <v>2694490</v>
      </c>
      <c r="D138" s="1541">
        <v>0</v>
      </c>
      <c r="E138" s="852" t="e">
        <f>VLOOKUP(A138,'TB 18'!$A$3:$A$182,1,0)</f>
        <v>#N/A</v>
      </c>
    </row>
    <row r="139" spans="1:5">
      <c r="A139" s="853" t="s">
        <v>1286</v>
      </c>
      <c r="B139" s="852" t="s">
        <v>513</v>
      </c>
      <c r="C139" s="1541">
        <v>350272.24</v>
      </c>
      <c r="D139" s="1541">
        <v>0</v>
      </c>
      <c r="E139" s="852" t="e">
        <f>VLOOKUP(A139,'TB 18'!$A$3:$A$182,1,0)</f>
        <v>#N/A</v>
      </c>
    </row>
    <row r="140" spans="1:5">
      <c r="A140" s="853" t="s">
        <v>1288</v>
      </c>
      <c r="B140" s="852" t="s">
        <v>521</v>
      </c>
      <c r="C140" s="1541">
        <v>133576</v>
      </c>
      <c r="D140" s="1541">
        <v>0</v>
      </c>
      <c r="E140" s="852" t="e">
        <f>VLOOKUP(A140,'TB 18'!$A$3:$A$182,1,0)</f>
        <v>#N/A</v>
      </c>
    </row>
    <row r="141" spans="1:5">
      <c r="A141" s="853" t="s">
        <v>1326</v>
      </c>
      <c r="B141" s="852" t="s">
        <v>649</v>
      </c>
      <c r="C141" s="1541">
        <v>17366</v>
      </c>
      <c r="D141" s="1541">
        <v>0</v>
      </c>
      <c r="E141" s="852" t="e">
        <f>VLOOKUP(A141,'TB 18'!$A$3:$A$182,1,0)</f>
        <v>#N/A</v>
      </c>
    </row>
    <row r="142" spans="1:5">
      <c r="A142" s="853" t="s">
        <v>1289</v>
      </c>
      <c r="B142" s="852" t="s">
        <v>527</v>
      </c>
      <c r="C142" s="1541">
        <v>35612</v>
      </c>
      <c r="D142" s="1541">
        <v>0</v>
      </c>
      <c r="E142" s="852" t="e">
        <f>VLOOKUP(A142,'TB 18'!$A$3:$A$182,1,0)</f>
        <v>#N/A</v>
      </c>
    </row>
    <row r="143" spans="1:5">
      <c r="A143" s="853" t="s">
        <v>1327</v>
      </c>
      <c r="B143" s="852" t="s">
        <v>654</v>
      </c>
      <c r="C143" s="1541">
        <v>178052.72</v>
      </c>
      <c r="D143" s="1541">
        <v>0</v>
      </c>
      <c r="E143" s="852" t="e">
        <f>VLOOKUP(A143,'TB 18'!$A$3:$A$182,1,0)</f>
        <v>#N/A</v>
      </c>
    </row>
    <row r="144" spans="1:5">
      <c r="A144" s="853" t="s">
        <v>2256</v>
      </c>
      <c r="B144" s="852" t="s">
        <v>2257</v>
      </c>
      <c r="C144" s="1541">
        <v>815836.12</v>
      </c>
      <c r="D144" s="1541">
        <v>0</v>
      </c>
      <c r="E144" s="852" t="e">
        <f>VLOOKUP(A144,'TB 18'!$A$3:$A$182,1,0)</f>
        <v>#N/A</v>
      </c>
    </row>
    <row r="145" spans="1:5">
      <c r="A145" s="853" t="s">
        <v>1291</v>
      </c>
      <c r="B145" s="852" t="s">
        <v>534</v>
      </c>
      <c r="C145" s="1541">
        <v>50131.48</v>
      </c>
      <c r="D145" s="1541">
        <v>0</v>
      </c>
      <c r="E145" s="852" t="e">
        <f>VLOOKUP(A145,'TB 18'!$A$3:$A$182,1,0)</f>
        <v>#N/A</v>
      </c>
    </row>
    <row r="146" spans="1:5">
      <c r="A146" s="853" t="s">
        <v>1292</v>
      </c>
      <c r="B146" s="852" t="s">
        <v>536</v>
      </c>
      <c r="C146" s="1541">
        <v>6192</v>
      </c>
      <c r="D146" s="1541">
        <v>0</v>
      </c>
      <c r="E146" s="852" t="e">
        <f>VLOOKUP(A146,'TB 18'!$A$3:$A$182,1,0)</f>
        <v>#N/A</v>
      </c>
    </row>
    <row r="147" spans="1:5">
      <c r="A147" s="853" t="s">
        <v>1294</v>
      </c>
      <c r="B147" s="852" t="s">
        <v>540</v>
      </c>
      <c r="C147" s="1541">
        <v>90000</v>
      </c>
      <c r="D147" s="1541">
        <v>0</v>
      </c>
      <c r="E147" s="852" t="e">
        <f>VLOOKUP(A147,'TB 18'!$A$3:$A$182,1,0)</f>
        <v>#N/A</v>
      </c>
    </row>
    <row r="148" spans="1:5">
      <c r="A148" s="853" t="s">
        <v>1324</v>
      </c>
      <c r="B148" s="852" t="s">
        <v>642</v>
      </c>
      <c r="C148" s="1541">
        <v>522431.53</v>
      </c>
      <c r="D148" s="1541">
        <v>0</v>
      </c>
      <c r="E148" s="852" t="e">
        <f>VLOOKUP(A148,'TB 18'!$A$3:$A$182,1,0)</f>
        <v>#N/A</v>
      </c>
    </row>
    <row r="149" spans="1:5">
      <c r="A149" s="853" t="s">
        <v>1322</v>
      </c>
      <c r="B149" s="852" t="s">
        <v>628</v>
      </c>
      <c r="C149" s="1541">
        <v>132020</v>
      </c>
      <c r="D149" s="1541">
        <v>0</v>
      </c>
      <c r="E149" s="852" t="e">
        <f>VLOOKUP(A149,'TB 18'!$A$3:$A$182,1,0)</f>
        <v>#N/A</v>
      </c>
    </row>
    <row r="150" spans="1:5">
      <c r="A150" s="853" t="s">
        <v>1295</v>
      </c>
      <c r="B150" s="852" t="s">
        <v>542</v>
      </c>
      <c r="C150" s="1541">
        <v>45945.840000000004</v>
      </c>
      <c r="D150" s="1541">
        <v>0</v>
      </c>
      <c r="E150" s="852" t="e">
        <f>VLOOKUP(A150,'TB 18'!$A$3:$A$182,1,0)</f>
        <v>#N/A</v>
      </c>
    </row>
    <row r="151" spans="1:5">
      <c r="A151" s="853" t="s">
        <v>1314</v>
      </c>
      <c r="B151" s="852" t="s">
        <v>595</v>
      </c>
      <c r="C151" s="1541">
        <v>91741.48</v>
      </c>
      <c r="D151" s="1541">
        <v>0</v>
      </c>
      <c r="E151" s="852" t="e">
        <f>VLOOKUP(A151,'TB 18'!$A$3:$A$182,1,0)</f>
        <v>#N/A</v>
      </c>
    </row>
    <row r="152" spans="1:5">
      <c r="A152" s="853" t="s">
        <v>1316</v>
      </c>
      <c r="B152" s="852" t="s">
        <v>599</v>
      </c>
      <c r="C152" s="1541">
        <v>6931.28</v>
      </c>
      <c r="D152" s="1541">
        <v>0</v>
      </c>
      <c r="E152" s="852" t="e">
        <f>VLOOKUP(A152,'TB 18'!$A$3:$A$182,1,0)</f>
        <v>#N/A</v>
      </c>
    </row>
    <row r="153" spans="1:5">
      <c r="A153" s="853" t="s">
        <v>1317</v>
      </c>
      <c r="B153" s="852" t="s">
        <v>601</v>
      </c>
      <c r="C153" s="1541">
        <v>63013.560000000005</v>
      </c>
      <c r="D153" s="1541">
        <v>0</v>
      </c>
      <c r="E153" s="852" t="e">
        <f>VLOOKUP(A153,'TB 18'!$A$3:$A$182,1,0)</f>
        <v>#N/A</v>
      </c>
    </row>
    <row r="154" spans="1:5">
      <c r="A154" s="853" t="s">
        <v>1320</v>
      </c>
      <c r="B154" s="852" t="s">
        <v>617</v>
      </c>
      <c r="C154" s="1541">
        <v>25205.24</v>
      </c>
      <c r="D154" s="1541">
        <v>0</v>
      </c>
      <c r="E154" s="852" t="e">
        <f>VLOOKUP(A154,'TB 18'!$A$3:$A$182,1,0)</f>
        <v>#N/A</v>
      </c>
    </row>
    <row r="155" spans="1:5">
      <c r="A155" s="853" t="s">
        <v>1296</v>
      </c>
      <c r="B155" s="852" t="s">
        <v>553</v>
      </c>
      <c r="C155" s="1541">
        <v>19969.95</v>
      </c>
      <c r="D155" s="1541">
        <v>0</v>
      </c>
      <c r="E155" s="852" t="e">
        <f>VLOOKUP(A155,'TB 18'!$A$3:$A$182,1,0)</f>
        <v>#N/A</v>
      </c>
    </row>
    <row r="156" spans="1:5">
      <c r="A156" s="853" t="s">
        <v>1298</v>
      </c>
      <c r="B156" s="852" t="s">
        <v>557</v>
      </c>
      <c r="C156" s="1541">
        <v>50</v>
      </c>
      <c r="D156" s="1541">
        <v>0</v>
      </c>
      <c r="E156" s="852" t="e">
        <f>VLOOKUP(A156,'TB 18'!$A$3:$A$182,1,0)</f>
        <v>#N/A</v>
      </c>
    </row>
    <row r="157" spans="1:5">
      <c r="A157" s="853" t="s">
        <v>1299</v>
      </c>
      <c r="B157" s="852" t="s">
        <v>559</v>
      </c>
      <c r="C157" s="1541">
        <v>635</v>
      </c>
      <c r="D157" s="1541">
        <v>0</v>
      </c>
      <c r="E157" s="852" t="e">
        <f>VLOOKUP(A157,'TB 18'!$A$3:$A$182,1,0)</f>
        <v>#N/A</v>
      </c>
    </row>
    <row r="158" spans="1:5">
      <c r="A158" s="853" t="s">
        <v>1300</v>
      </c>
      <c r="B158" s="852" t="s">
        <v>561</v>
      </c>
      <c r="C158" s="1541">
        <v>28709</v>
      </c>
      <c r="D158" s="1541">
        <v>0</v>
      </c>
      <c r="E158" s="852" t="e">
        <f>VLOOKUP(A158,'TB 18'!$A$3:$A$182,1,0)</f>
        <v>#N/A</v>
      </c>
    </row>
    <row r="159" spans="1:5">
      <c r="A159" s="853" t="s">
        <v>1301</v>
      </c>
      <c r="B159" s="852" t="s">
        <v>563</v>
      </c>
      <c r="C159" s="1541">
        <v>2003</v>
      </c>
      <c r="D159" s="1541">
        <v>0</v>
      </c>
      <c r="E159" s="852" t="e">
        <f>VLOOKUP(A159,'TB 18'!$A$3:$A$182,1,0)</f>
        <v>#N/A</v>
      </c>
    </row>
    <row r="160" spans="1:5">
      <c r="A160" s="2255" t="s">
        <v>1303</v>
      </c>
      <c r="B160" s="2256" t="s">
        <v>567</v>
      </c>
      <c r="C160" s="2257">
        <v>3</v>
      </c>
      <c r="D160" s="2257">
        <v>0</v>
      </c>
      <c r="E160" s="2256" t="e">
        <f>VLOOKUP(A160,'TB 18'!$A$3:$A$182,1,0)</f>
        <v>#N/A</v>
      </c>
    </row>
    <row r="161" spans="1:5">
      <c r="A161" s="853" t="s">
        <v>1304</v>
      </c>
      <c r="B161" s="852" t="s">
        <v>569</v>
      </c>
      <c r="C161" s="1541">
        <f>63+1</f>
        <v>64</v>
      </c>
      <c r="D161" s="1541">
        <v>0</v>
      </c>
      <c r="E161" s="852" t="e">
        <f>VLOOKUP(A161,'TB 18'!$A$3:$A$182,1,0)</f>
        <v>#N/A</v>
      </c>
    </row>
    <row r="162" spans="1:5">
      <c r="A162" s="853"/>
    </row>
    <row r="163" spans="1:5">
      <c r="A163" s="853" t="s">
        <v>1306</v>
      </c>
      <c r="B163" s="852" t="s">
        <v>573</v>
      </c>
      <c r="C163" s="1541">
        <f>4225-1.26999998092651</f>
        <v>4223.7300000190735</v>
      </c>
      <c r="D163" s="1541">
        <v>0</v>
      </c>
      <c r="E163" s="852" t="e">
        <f>VLOOKUP(A163,'TB 18'!$A$3:$A$182,1,0)</f>
        <v>#N/A</v>
      </c>
    </row>
    <row r="165" spans="1:5">
      <c r="A165" s="852" t="s">
        <v>1308</v>
      </c>
      <c r="B165" s="852" t="s">
        <v>577</v>
      </c>
      <c r="C165" s="1541">
        <v>5</v>
      </c>
      <c r="D165" s="1541">
        <v>0</v>
      </c>
      <c r="E165" s="852" t="e">
        <f>VLOOKUP(A165,'TB 18'!$A$3:$A$182,1,0)</f>
        <v>#N/A</v>
      </c>
    </row>
    <row r="166" spans="1:5">
      <c r="A166" s="852" t="s">
        <v>1310</v>
      </c>
      <c r="B166" s="852" t="s">
        <v>581</v>
      </c>
      <c r="C166" s="1541">
        <v>7</v>
      </c>
      <c r="D166" s="1541">
        <v>0</v>
      </c>
      <c r="E166" s="852" t="e">
        <f>VLOOKUP(A166,'TB 18'!$A$3:$A$182,1,0)</f>
        <v>#N/A</v>
      </c>
    </row>
    <row r="167" spans="1:5">
      <c r="A167" s="852" t="s">
        <v>1582</v>
      </c>
      <c r="B167" s="852" t="s">
        <v>1581</v>
      </c>
      <c r="C167" s="1541">
        <v>2752.0300006866455</v>
      </c>
      <c r="D167" s="1541">
        <v>0</v>
      </c>
      <c r="E167" s="852" t="e">
        <f>VLOOKUP(A167,'TB 18'!$A$3:$A$182,1,0)</f>
        <v>#N/A</v>
      </c>
    </row>
    <row r="170" spans="1:5">
      <c r="C170" s="1541">
        <f>SUM(C3:C167)</f>
        <v>1079751013.24</v>
      </c>
      <c r="D170" s="1541">
        <f>SUM(D3:D167)</f>
        <v>1079751013.24</v>
      </c>
    </row>
    <row r="172" spans="1:5">
      <c r="C172" s="2440">
        <f>C170-D170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M19"/>
  <sheetViews>
    <sheetView workbookViewId="0">
      <selection activeCell="E11" sqref="E11"/>
    </sheetView>
  </sheetViews>
  <sheetFormatPr defaultRowHeight="15.75"/>
  <cols>
    <col min="4" max="4" width="10.75" bestFit="1" customWidth="1"/>
    <col min="5" max="5" width="13.75" bestFit="1" customWidth="1"/>
    <col min="6" max="6" width="24.375" bestFit="1" customWidth="1"/>
    <col min="7" max="7" width="14.75" bestFit="1" customWidth="1"/>
    <col min="8" max="8" width="13.75" bestFit="1" customWidth="1"/>
    <col min="9" max="9" width="16.375" bestFit="1" customWidth="1"/>
    <col min="10" max="10" width="14.75" bestFit="1" customWidth="1"/>
    <col min="12" max="12" width="14.75" bestFit="1" customWidth="1"/>
  </cols>
  <sheetData>
    <row r="2" spans="4:13">
      <c r="J2" s="3255" t="s">
        <v>2518</v>
      </c>
      <c r="K2" s="3255"/>
      <c r="L2" s="3255" t="s">
        <v>780</v>
      </c>
      <c r="M2" s="3255"/>
    </row>
    <row r="3" spans="4:13">
      <c r="G3" t="s">
        <v>2259</v>
      </c>
      <c r="H3" t="s">
        <v>770</v>
      </c>
      <c r="J3" t="s">
        <v>1593</v>
      </c>
      <c r="K3" s="2824" t="s">
        <v>2517</v>
      </c>
      <c r="L3" s="852" t="s">
        <v>1593</v>
      </c>
      <c r="M3" s="2824" t="s">
        <v>2517</v>
      </c>
    </row>
    <row r="4" spans="4:13">
      <c r="F4" t="s">
        <v>2260</v>
      </c>
      <c r="G4" s="1541">
        <f>G17</f>
        <v>399280.11720000004</v>
      </c>
      <c r="H4" s="1541">
        <f>H17</f>
        <v>7279263.2739000004</v>
      </c>
      <c r="J4" s="1542">
        <f>H4*BS!H43/1000</f>
        <v>392363.20935812086</v>
      </c>
      <c r="K4" s="1542">
        <f>G4-J4</f>
        <v>6916.907841879176</v>
      </c>
      <c r="L4" s="1542">
        <f>H5*BS!H43/1000</f>
        <v>118574.21119375181</v>
      </c>
      <c r="M4" s="1542">
        <f>G5-L4</f>
        <v>2103.8818662481935</v>
      </c>
    </row>
    <row r="5" spans="4:13">
      <c r="F5" t="s">
        <v>2261</v>
      </c>
      <c r="G5" s="1541">
        <f>I19</f>
        <v>120678.09306</v>
      </c>
      <c r="H5" s="1541">
        <f>J19</f>
        <v>2199831.3812000002</v>
      </c>
    </row>
    <row r="7" spans="4:13">
      <c r="D7" s="3256" t="s">
        <v>2519</v>
      </c>
      <c r="E7" s="3256"/>
      <c r="I7" s="2435"/>
    </row>
    <row r="8" spans="4:13">
      <c r="D8" s="2790" t="s">
        <v>1358</v>
      </c>
      <c r="E8" s="2825">
        <f>BS!H38</f>
        <v>11680502</v>
      </c>
      <c r="I8" s="2435"/>
    </row>
    <row r="9" spans="4:13">
      <c r="D9" s="2790" t="s">
        <v>2520</v>
      </c>
      <c r="E9" s="1542">
        <f>H4</f>
        <v>7279263.2739000004</v>
      </c>
      <c r="G9" s="1541">
        <v>181601772.74000001</v>
      </c>
      <c r="H9" s="1541">
        <v>3316402.7622000002</v>
      </c>
      <c r="I9" s="2821">
        <v>-7265.9</v>
      </c>
      <c r="J9" s="2822">
        <v>-133.18379999999999</v>
      </c>
    </row>
    <row r="10" spans="4:13">
      <c r="D10" s="2790" t="s">
        <v>2521</v>
      </c>
      <c r="E10" s="1542">
        <f>H5</f>
        <v>2199831.3812000002</v>
      </c>
      <c r="G10" s="1541">
        <v>75873864.659999996</v>
      </c>
      <c r="H10" s="1541">
        <v>1374251.7457999999</v>
      </c>
      <c r="I10" s="2821">
        <v>-9671937.7899999991</v>
      </c>
      <c r="J10" s="2822">
        <v>-175380.9449</v>
      </c>
    </row>
    <row r="11" spans="4:13" ht="16.5" thickBot="1">
      <c r="D11" s="2826" t="s">
        <v>1348</v>
      </c>
      <c r="E11" s="2827">
        <f>E8+E9-E10</f>
        <v>16759933.892700002</v>
      </c>
      <c r="G11" s="2436">
        <v>500000</v>
      </c>
      <c r="H11" s="2436">
        <v>9260.3395999999993</v>
      </c>
      <c r="I11" s="2821">
        <v>-5738567.3200000003</v>
      </c>
      <c r="J11" s="2822">
        <v>-105218.65489999999</v>
      </c>
    </row>
    <row r="12" spans="4:13" ht="16.5" thickTop="1">
      <c r="E12" s="2825"/>
      <c r="G12" s="2436">
        <v>24366413.66</v>
      </c>
      <c r="H12" s="2436">
        <v>440785.2377</v>
      </c>
      <c r="I12" s="2821">
        <v>-55368835.75</v>
      </c>
      <c r="J12" s="2822">
        <v>-1012123.3814</v>
      </c>
    </row>
    <row r="13" spans="4:13">
      <c r="G13" s="2435">
        <v>5727986.3200000003</v>
      </c>
      <c r="H13" s="2435">
        <v>105023.63430000001</v>
      </c>
      <c r="I13" s="2821">
        <v>-484504.51</v>
      </c>
      <c r="J13" s="2822">
        <v>-8823.0735000000004</v>
      </c>
    </row>
    <row r="14" spans="4:13">
      <c r="G14" s="2435">
        <v>389358.17</v>
      </c>
      <c r="H14" s="2435">
        <v>7063.7627000000002</v>
      </c>
      <c r="I14" s="2821">
        <v>-83240.160000000003</v>
      </c>
      <c r="J14" s="2822">
        <v>-1520.2593999999999</v>
      </c>
    </row>
    <row r="15" spans="4:13">
      <c r="G15" s="2435">
        <v>429816.93</v>
      </c>
      <c r="H15" s="2435">
        <v>7790.3946999999998</v>
      </c>
      <c r="I15" s="2821">
        <v>-32889196.129999999</v>
      </c>
      <c r="J15" s="2822">
        <v>-596828.78139999998</v>
      </c>
    </row>
    <row r="16" spans="4:13">
      <c r="G16" s="2435">
        <v>110390904.72</v>
      </c>
      <c r="H16" s="2435">
        <v>2018685.3969000001</v>
      </c>
      <c r="I16" s="2821">
        <v>-4021532.84</v>
      </c>
      <c r="J16" s="2822">
        <v>-73360.086899999995</v>
      </c>
    </row>
    <row r="17" spans="7:10">
      <c r="G17" s="1542">
        <f>SUM(G9:G16)/1000</f>
        <v>399280.11720000004</v>
      </c>
      <c r="H17" s="1542">
        <f>SUM(H9:H16)</f>
        <v>7279263.2739000004</v>
      </c>
      <c r="I17" s="2821">
        <v>-389358.17</v>
      </c>
      <c r="J17" s="2822">
        <v>-7063.7627000000002</v>
      </c>
    </row>
    <row r="18" spans="7:10">
      <c r="I18" s="2821">
        <v>-12023654.49</v>
      </c>
      <c r="J18" s="2822">
        <v>-219379.25229999999</v>
      </c>
    </row>
    <row r="19" spans="7:10">
      <c r="I19" s="1542">
        <f>-SUM(I9:I18)/1000</f>
        <v>120678.09306</v>
      </c>
      <c r="J19" s="2823">
        <f>-SUM(J9:J18)</f>
        <v>2199831.3812000002</v>
      </c>
    </row>
  </sheetData>
  <mergeCells count="3">
    <mergeCell ref="J2:K2"/>
    <mergeCell ref="L2:M2"/>
    <mergeCell ref="D7:E7"/>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0"/>
  <sheetViews>
    <sheetView view="pageBreakPreview" zoomScale="60" workbookViewId="0">
      <pane xSplit="4" ySplit="7" topLeftCell="E8" activePane="bottomRight" state="frozen"/>
      <selection pane="topRight" activeCell="E1" sqref="E1"/>
      <selection pane="bottomLeft" activeCell="A6" sqref="A6"/>
      <selection pane="bottomRight" activeCell="D8" sqref="D8"/>
    </sheetView>
  </sheetViews>
  <sheetFormatPr defaultColWidth="8" defaultRowHeight="15.75"/>
  <cols>
    <col min="1" max="1" width="3.5" style="2599" customWidth="1"/>
    <col min="2" max="2" width="17.125" style="2599" customWidth="1"/>
    <col min="3" max="3" width="21.75" style="2599" customWidth="1"/>
    <col min="4" max="4" width="51.5" style="2599" customWidth="1"/>
    <col min="5" max="5" width="17.375" style="2601" bestFit="1" customWidth="1"/>
    <col min="6" max="6" width="14.875" style="2602" customWidth="1"/>
    <col min="7" max="7" width="20.25" style="2599" customWidth="1"/>
    <col min="8" max="8" width="16" style="2599" customWidth="1"/>
    <col min="9" max="9" width="16.125" style="2599" customWidth="1"/>
    <col min="10" max="10" width="12.125" style="2599" customWidth="1"/>
    <col min="11" max="11" width="22" style="2599" customWidth="1"/>
    <col min="12" max="12" width="20.875" style="2599" bestFit="1" customWidth="1"/>
    <col min="13" max="13" width="13.375" style="2599" bestFit="1" customWidth="1"/>
    <col min="14" max="14" width="16.25" style="2599" bestFit="1" customWidth="1"/>
    <col min="15" max="16" width="12.875" style="2599" customWidth="1"/>
    <col min="17" max="17" width="15.375" style="2599" bestFit="1" customWidth="1"/>
    <col min="18" max="18" width="13.875" style="2599" bestFit="1" customWidth="1"/>
    <col min="19" max="19" width="12.5" style="2599" customWidth="1"/>
    <col min="20" max="20" width="11" style="2599" customWidth="1"/>
    <col min="21" max="21" width="14.25" style="2599" customWidth="1"/>
    <col min="22" max="22" width="10.375" style="2599" bestFit="1" customWidth="1"/>
    <col min="23" max="16384" width="8" style="2599"/>
  </cols>
  <sheetData>
    <row r="1" spans="1:36">
      <c r="B1" s="2600" t="s">
        <v>1709</v>
      </c>
      <c r="J1" s="2603"/>
      <c r="K1" s="2603"/>
    </row>
    <row r="2" spans="1:36">
      <c r="B2" s="2600" t="s">
        <v>2312</v>
      </c>
      <c r="J2" s="2603"/>
      <c r="K2" s="2603"/>
    </row>
    <row r="3" spans="1:36">
      <c r="B3" s="2604">
        <f ca="1">TODAY()-1</f>
        <v>44486</v>
      </c>
      <c r="K3" s="2603"/>
    </row>
    <row r="4" spans="1:36" ht="16.5" thickBot="1">
      <c r="B4" s="2604"/>
      <c r="J4" s="3257" t="s">
        <v>2313</v>
      </c>
      <c r="K4" s="3257"/>
      <c r="R4" s="2605"/>
    </row>
    <row r="5" spans="1:36" s="2606" customFormat="1" ht="16.5" customHeight="1" thickBot="1">
      <c r="A5" s="3258" t="s">
        <v>2314</v>
      </c>
      <c r="B5" s="3260" t="s">
        <v>2315</v>
      </c>
      <c r="C5" s="3260" t="s">
        <v>2316</v>
      </c>
      <c r="D5" s="3262" t="s">
        <v>2317</v>
      </c>
      <c r="E5" s="3264" t="s">
        <v>2318</v>
      </c>
      <c r="F5" s="3266" t="s">
        <v>2319</v>
      </c>
      <c r="G5" s="3268" t="s">
        <v>1744</v>
      </c>
      <c r="H5" s="3268" t="s">
        <v>2320</v>
      </c>
      <c r="I5" s="3270" t="s">
        <v>853</v>
      </c>
      <c r="J5" s="3270" t="s">
        <v>2321</v>
      </c>
      <c r="K5" s="3272" t="s">
        <v>2322</v>
      </c>
      <c r="L5" s="3260" t="s">
        <v>1818</v>
      </c>
      <c r="M5" s="3262" t="s">
        <v>2323</v>
      </c>
      <c r="N5" s="3274"/>
      <c r="O5" s="3270" t="s">
        <v>2324</v>
      </c>
      <c r="P5" s="3276" t="s">
        <v>2325</v>
      </c>
      <c r="Q5" s="3277"/>
      <c r="R5" s="3270" t="s">
        <v>2326</v>
      </c>
      <c r="S5" s="3270" t="s">
        <v>2327</v>
      </c>
      <c r="T5" s="3270" t="s">
        <v>2328</v>
      </c>
      <c r="U5" s="3270" t="s">
        <v>2329</v>
      </c>
    </row>
    <row r="6" spans="1:36" s="2606" customFormat="1" ht="16.5" thickBot="1">
      <c r="A6" s="3259"/>
      <c r="B6" s="3261"/>
      <c r="C6" s="3261"/>
      <c r="D6" s="3263"/>
      <c r="E6" s="3265"/>
      <c r="F6" s="3267"/>
      <c r="G6" s="3269"/>
      <c r="H6" s="3269"/>
      <c r="I6" s="3271"/>
      <c r="J6" s="3271"/>
      <c r="K6" s="3273"/>
      <c r="L6" s="3261"/>
      <c r="M6" s="3263"/>
      <c r="N6" s="3275"/>
      <c r="O6" s="3271"/>
      <c r="P6" s="2607" t="s">
        <v>1745</v>
      </c>
      <c r="Q6" s="2607" t="s">
        <v>2330</v>
      </c>
      <c r="R6" s="3271"/>
      <c r="S6" s="3271"/>
      <c r="T6" s="3271"/>
      <c r="U6" s="3271"/>
    </row>
    <row r="7" spans="1:36">
      <c r="Y7" s="2599" t="s">
        <v>2331</v>
      </c>
      <c r="AA7" s="2599" t="s">
        <v>2332</v>
      </c>
    </row>
    <row r="8" spans="1:36" s="2603" customFormat="1" ht="18">
      <c r="A8" s="2608">
        <v>6</v>
      </c>
      <c r="B8" s="2609">
        <v>42419</v>
      </c>
      <c r="C8" s="2610" t="s">
        <v>2333</v>
      </c>
      <c r="D8" s="2610" t="s">
        <v>1440</v>
      </c>
      <c r="E8" s="2611">
        <v>500</v>
      </c>
      <c r="F8" s="2611">
        <f>99840-20</f>
        <v>99820</v>
      </c>
      <c r="G8" s="2612">
        <f t="shared" ref="G8:G14" si="0">E8*F8</f>
        <v>49910000</v>
      </c>
      <c r="H8" s="2613">
        <v>97.881299999999996</v>
      </c>
      <c r="I8" s="2612">
        <f t="shared" ref="I8:I15" si="1">E8*F8*H8/100</f>
        <v>48852556.829999998</v>
      </c>
      <c r="J8" s="2614">
        <v>97.256180255517734</v>
      </c>
      <c r="K8" s="2615">
        <f t="shared" ref="K8:K16" si="2">IF(J8&gt;0,(G8/100*J8)-I8,0)</f>
        <v>-311997.26447109878</v>
      </c>
      <c r="L8" s="2616">
        <f t="shared" ref="L8:L16" si="3">+G8/100*J8</f>
        <v>48540559.565528899</v>
      </c>
      <c r="M8" s="2617"/>
      <c r="N8" s="2612">
        <f>+K8-Q8</f>
        <v>0</v>
      </c>
      <c r="O8" s="2617" t="s">
        <v>2334</v>
      </c>
      <c r="P8" s="2614">
        <v>97.256180255517734</v>
      </c>
      <c r="Q8" s="2615">
        <v>-311997.26447109878</v>
      </c>
      <c r="R8" s="2618">
        <f>VLOOKUP(C8,[43]MUFAP!$B$11:$F$123,5,0)</f>
        <v>97.256180255517734</v>
      </c>
      <c r="S8" s="2619">
        <f t="shared" ref="S8:S16" si="4">+R8-J8</f>
        <v>0</v>
      </c>
      <c r="T8" s="2620"/>
      <c r="U8" s="2621">
        <f t="shared" ref="U8:U16" si="5">G8/100*S8</f>
        <v>0</v>
      </c>
      <c r="V8" s="2603" t="str">
        <f>VLOOKUP(C8,[43]MUFAP!$B$11:$E$140,4,0)</f>
        <v>Non-Traded</v>
      </c>
      <c r="W8" s="2622" t="str">
        <f t="shared" ref="W8:W15" si="6">IF(V8=O8,"OK",FALSE)</f>
        <v>OK</v>
      </c>
      <c r="Y8" s="2623">
        <f>+I8/G8*100</f>
        <v>97.881299999999996</v>
      </c>
      <c r="Z8" s="2624">
        <f>+Y8-H8</f>
        <v>0</v>
      </c>
      <c r="AA8" s="2625">
        <v>100</v>
      </c>
      <c r="AB8" s="2623">
        <f>+Y8-AA8</f>
        <v>-2.118700000000004</v>
      </c>
    </row>
    <row r="9" spans="1:36" s="2639" customFormat="1" hidden="1">
      <c r="A9" s="2608">
        <v>7</v>
      </c>
      <c r="B9" s="2626">
        <v>41912</v>
      </c>
      <c r="C9" s="2608" t="s">
        <v>2335</v>
      </c>
      <c r="D9" s="2608" t="s">
        <v>1438</v>
      </c>
      <c r="E9" s="2627">
        <v>0</v>
      </c>
      <c r="F9" s="2627">
        <f>4990-1</f>
        <v>4989</v>
      </c>
      <c r="G9" s="2628">
        <f t="shared" si="0"/>
        <v>0</v>
      </c>
      <c r="H9" s="2629">
        <v>95.092399999999998</v>
      </c>
      <c r="I9" s="2628">
        <f t="shared" si="1"/>
        <v>0</v>
      </c>
      <c r="J9" s="2629">
        <v>0</v>
      </c>
      <c r="K9" s="2630">
        <f t="shared" si="2"/>
        <v>0</v>
      </c>
      <c r="L9" s="2631">
        <f t="shared" si="3"/>
        <v>0</v>
      </c>
      <c r="M9" s="2632"/>
      <c r="N9" s="2633">
        <f t="shared" ref="N9:N16" si="7">+K9-Q9</f>
        <v>0</v>
      </c>
      <c r="O9" s="2632" t="s">
        <v>2334</v>
      </c>
      <c r="P9" s="2629">
        <v>0</v>
      </c>
      <c r="Q9" s="2630">
        <v>0</v>
      </c>
      <c r="R9" s="2634" t="e">
        <f>VLOOKUP(C9,[43]MUFAP!$B$11:$F$123,5,0)</f>
        <v>#N/A</v>
      </c>
      <c r="S9" s="2635" t="e">
        <f t="shared" si="4"/>
        <v>#N/A</v>
      </c>
      <c r="T9" s="2636"/>
      <c r="U9" s="2637" t="e">
        <f t="shared" si="5"/>
        <v>#N/A</v>
      </c>
      <c r="V9" s="2603" t="e">
        <f>VLOOKUP(C9,[43]MUFAP!$B$11:$E$140,4,0)</f>
        <v>#N/A</v>
      </c>
      <c r="W9" s="2638" t="e">
        <f t="shared" si="6"/>
        <v>#N/A</v>
      </c>
      <c r="Y9" s="2640" t="e">
        <f>+I9/G9*100</f>
        <v>#DIV/0!</v>
      </c>
      <c r="Z9" s="2641" t="e">
        <f>+Y9-H9</f>
        <v>#DIV/0!</v>
      </c>
      <c r="AA9" s="2642">
        <v>100.75</v>
      </c>
      <c r="AB9" s="2640" t="e">
        <f>+Y9-AA9</f>
        <v>#DIV/0!</v>
      </c>
    </row>
    <row r="10" spans="1:36" s="2603" customFormat="1">
      <c r="A10" s="2643"/>
      <c r="B10" s="2609">
        <v>42727</v>
      </c>
      <c r="C10" s="2610" t="s">
        <v>2336</v>
      </c>
      <c r="D10" s="2644" t="s">
        <v>2337</v>
      </c>
      <c r="E10" s="2611">
        <f>875-400</f>
        <v>475</v>
      </c>
      <c r="F10" s="2611">
        <f>100000-20-20-20-20-20-20-20</f>
        <v>99860</v>
      </c>
      <c r="G10" s="2612">
        <f>E10*F10</f>
        <v>47433500</v>
      </c>
      <c r="H10" s="2613">
        <v>98.120800000000003</v>
      </c>
      <c r="I10" s="2612">
        <f t="shared" si="1"/>
        <v>46542129.668000005</v>
      </c>
      <c r="J10" s="2613">
        <v>100.1</v>
      </c>
      <c r="K10" s="2615">
        <f t="shared" si="2"/>
        <v>938803.83199999481</v>
      </c>
      <c r="L10" s="2616">
        <f t="shared" si="3"/>
        <v>47480933.5</v>
      </c>
      <c r="M10" s="2617"/>
      <c r="N10" s="2612">
        <f t="shared" si="7"/>
        <v>0</v>
      </c>
      <c r="O10" s="2617" t="s">
        <v>2338</v>
      </c>
      <c r="P10" s="2613">
        <v>100.1</v>
      </c>
      <c r="Q10" s="2615">
        <v>938803.83199999481</v>
      </c>
      <c r="R10" s="2618">
        <f>VLOOKUP(C10,[43]MUFAP!$B$11:$F$123,5,0)</f>
        <v>100.1</v>
      </c>
      <c r="S10" s="2619">
        <f t="shared" si="4"/>
        <v>0</v>
      </c>
      <c r="T10" s="2620"/>
      <c r="U10" s="2621">
        <f t="shared" si="5"/>
        <v>0</v>
      </c>
      <c r="V10" s="2603" t="str">
        <f>VLOOKUP(C10,[43]MUFAP!$B$11:$E$140,4,0)</f>
        <v>Traded</v>
      </c>
      <c r="W10" s="2622" t="str">
        <f t="shared" si="6"/>
        <v>OK</v>
      </c>
      <c r="Y10" s="2623"/>
      <c r="Z10" s="2624"/>
      <c r="AA10" s="2625"/>
      <c r="AB10" s="2623"/>
    </row>
    <row r="11" spans="1:36" s="2639" customFormat="1">
      <c r="A11" s="2610"/>
      <c r="B11" s="2609">
        <v>42446</v>
      </c>
      <c r="C11" s="2610" t="s">
        <v>2339</v>
      </c>
      <c r="D11" s="2610" t="s">
        <v>2340</v>
      </c>
      <c r="E11" s="2611">
        <v>5000</v>
      </c>
      <c r="F11" s="2645">
        <f>4993-1-1</f>
        <v>4991</v>
      </c>
      <c r="G11" s="2612">
        <f>E11*F11</f>
        <v>24955000</v>
      </c>
      <c r="H11" s="2613">
        <v>93.711100000000002</v>
      </c>
      <c r="I11" s="2612">
        <f t="shared" si="1"/>
        <v>23385605.004999999</v>
      </c>
      <c r="J11" s="2613">
        <v>90.230538739765706</v>
      </c>
      <c r="K11" s="2615">
        <f t="shared" si="2"/>
        <v>-868574.06249146536</v>
      </c>
      <c r="L11" s="2616">
        <f t="shared" si="3"/>
        <v>22517030.942508534</v>
      </c>
      <c r="M11" s="2617"/>
      <c r="N11" s="2612">
        <f t="shared" si="7"/>
        <v>0</v>
      </c>
      <c r="O11" s="2617" t="s">
        <v>2334</v>
      </c>
      <c r="P11" s="2613">
        <v>90.230538739765706</v>
      </c>
      <c r="Q11" s="2615">
        <v>-868574.06249146536</v>
      </c>
      <c r="R11" s="2618">
        <f>VLOOKUP(C11,[43]MUFAP!$B$11:$F$123,5,0)</f>
        <v>90.230538739765706</v>
      </c>
      <c r="S11" s="2619">
        <f t="shared" si="4"/>
        <v>0</v>
      </c>
      <c r="T11" s="2620"/>
      <c r="U11" s="2621">
        <f t="shared" si="5"/>
        <v>0</v>
      </c>
      <c r="V11" s="2603" t="str">
        <f>VLOOKUP(C11,[43]MUFAP!$B$11:$E$140,4,0)</f>
        <v>Non-Traded</v>
      </c>
      <c r="W11" s="2638" t="str">
        <f t="shared" si="6"/>
        <v>OK</v>
      </c>
      <c r="Y11" s="2640"/>
      <c r="Z11" s="2641"/>
      <c r="AA11" s="2642"/>
      <c r="AB11" s="2640"/>
    </row>
    <row r="12" spans="1:36" s="2639" customFormat="1">
      <c r="A12" s="2643"/>
      <c r="B12" s="2646">
        <v>43907</v>
      </c>
      <c r="C12" s="2643" t="s">
        <v>2341</v>
      </c>
      <c r="D12" s="2643" t="s">
        <v>2342</v>
      </c>
      <c r="E12" s="2647">
        <f>G12/F12</f>
        <v>20</v>
      </c>
      <c r="F12" s="2648">
        <v>1000000</v>
      </c>
      <c r="G12" s="2649">
        <v>20000000</v>
      </c>
      <c r="H12" s="2650">
        <v>100</v>
      </c>
      <c r="I12" s="2649">
        <v>20000000</v>
      </c>
      <c r="J12" s="2650">
        <v>100</v>
      </c>
      <c r="K12" s="2615">
        <f t="shared" si="2"/>
        <v>0</v>
      </c>
      <c r="L12" s="2651">
        <f t="shared" si="3"/>
        <v>20000000</v>
      </c>
      <c r="M12" s="2652">
        <v>0</v>
      </c>
      <c r="N12" s="2649">
        <f t="shared" si="7"/>
        <v>0</v>
      </c>
      <c r="O12" s="2652" t="s">
        <v>2334</v>
      </c>
      <c r="P12" s="2650">
        <v>100</v>
      </c>
      <c r="Q12" s="2653">
        <v>0</v>
      </c>
      <c r="R12" s="2654">
        <f>VLOOKUP(C12,[43]MUFAP!$B$11:$F$123,5,0)</f>
        <v>100</v>
      </c>
      <c r="S12" s="2655">
        <f t="shared" si="4"/>
        <v>0</v>
      </c>
      <c r="T12" s="2656"/>
      <c r="U12" s="2657">
        <f t="shared" si="5"/>
        <v>0</v>
      </c>
      <c r="V12" s="2603" t="str">
        <f>VLOOKUP(C12,[43]MUFAP!$B$11:$E$140,4,0)</f>
        <v>Traded</v>
      </c>
      <c r="W12" s="2638" t="b">
        <f t="shared" si="6"/>
        <v>0</v>
      </c>
      <c r="Y12" s="2640"/>
      <c r="Z12" s="2641"/>
      <c r="AA12" s="2642"/>
      <c r="AB12" s="2640"/>
    </row>
    <row r="13" spans="1:36" s="2603" customFormat="1">
      <c r="A13" s="2643"/>
      <c r="B13" s="2646">
        <v>42934</v>
      </c>
      <c r="C13" s="2643" t="s">
        <v>2343</v>
      </c>
      <c r="D13" s="2643" t="s">
        <v>2344</v>
      </c>
      <c r="E13" s="2647">
        <v>17000</v>
      </c>
      <c r="F13" s="2647">
        <f>5000-625-625-625-625</f>
        <v>2500</v>
      </c>
      <c r="G13" s="2649">
        <f>F13*E13</f>
        <v>42500000</v>
      </c>
      <c r="H13" s="2650">
        <v>97.754000000000005</v>
      </c>
      <c r="I13" s="2649">
        <f t="shared" si="1"/>
        <v>41545450</v>
      </c>
      <c r="J13" s="2613">
        <v>100</v>
      </c>
      <c r="K13" s="2653">
        <f t="shared" si="2"/>
        <v>954550</v>
      </c>
      <c r="L13" s="2651">
        <f t="shared" si="3"/>
        <v>42500000</v>
      </c>
      <c r="M13" s="2652"/>
      <c r="N13" s="2649">
        <f t="shared" si="7"/>
        <v>1217087.093813844</v>
      </c>
      <c r="O13" s="2652" t="s">
        <v>2334</v>
      </c>
      <c r="P13" s="2650">
        <v>97.136265661614487</v>
      </c>
      <c r="Q13" s="2615">
        <v>-262537.09381384403</v>
      </c>
      <c r="R13" s="2618">
        <f>VLOOKUP(C13,[43]MUFAP!$B$11:$F$123,5,0)</f>
        <v>100</v>
      </c>
      <c r="S13" s="2655">
        <f t="shared" si="4"/>
        <v>0</v>
      </c>
      <c r="T13" s="2656"/>
      <c r="U13" s="2657">
        <f t="shared" si="5"/>
        <v>0</v>
      </c>
      <c r="V13" s="2603" t="str">
        <f>VLOOKUP(C13,[43]MUFAP!$B$11:$E$140,4,0)</f>
        <v>Traded</v>
      </c>
      <c r="W13" s="2622" t="b">
        <f>IF(V13=O13,"OK",FALSE)</f>
        <v>0</v>
      </c>
      <c r="Y13" s="2623"/>
      <c r="Z13" s="2624"/>
      <c r="AA13" s="2625"/>
      <c r="AB13" s="2623"/>
    </row>
    <row r="14" spans="1:36" s="2603" customFormat="1">
      <c r="A14" s="2643"/>
      <c r="B14" s="2646">
        <v>42753</v>
      </c>
      <c r="C14" s="2643" t="s">
        <v>2345</v>
      </c>
      <c r="D14" s="2643" t="s">
        <v>2346</v>
      </c>
      <c r="E14" s="2647">
        <f>10+10</f>
        <v>20</v>
      </c>
      <c r="F14" s="2647">
        <f>83333-8333-8333-8333</f>
        <v>58334</v>
      </c>
      <c r="G14" s="2649">
        <f t="shared" si="0"/>
        <v>1166680</v>
      </c>
      <c r="H14" s="2650">
        <v>100.27499978571488</v>
      </c>
      <c r="I14" s="2649">
        <f t="shared" si="1"/>
        <v>1169888.3674999783</v>
      </c>
      <c r="J14" s="2613">
        <v>100.1016</v>
      </c>
      <c r="K14" s="2653">
        <f t="shared" si="2"/>
        <v>-2023.0206199781969</v>
      </c>
      <c r="L14" s="2651">
        <f t="shared" si="3"/>
        <v>1167865.3468800001</v>
      </c>
      <c r="M14" s="2652"/>
      <c r="N14" s="2649">
        <f>+K14-Q14</f>
        <v>0</v>
      </c>
      <c r="O14" s="2652" t="s">
        <v>2338</v>
      </c>
      <c r="P14" s="2650">
        <v>100.1016</v>
      </c>
      <c r="Q14" s="2615">
        <v>-2023.0206199781969</v>
      </c>
      <c r="R14" s="2618">
        <f>VLOOKUP(C14,[43]MUFAP!$B$11:$F$123,5,0)</f>
        <v>100.1016</v>
      </c>
      <c r="S14" s="2655">
        <f t="shared" si="4"/>
        <v>0</v>
      </c>
      <c r="T14" s="2656"/>
      <c r="U14" s="2657">
        <f t="shared" si="5"/>
        <v>0</v>
      </c>
      <c r="V14" s="2603" t="str">
        <f>VLOOKUP(C14,[43]MUFAP!$B$11:$E$140,4,0)</f>
        <v>Traded</v>
      </c>
      <c r="W14" s="2638" t="str">
        <f>IF(V14=O14,"OK",FALSE)</f>
        <v>OK</v>
      </c>
      <c r="Y14" s="2623"/>
      <c r="Z14" s="2624"/>
      <c r="AA14" s="2625"/>
      <c r="AB14" s="2623"/>
      <c r="AJ14" s="2652" t="s">
        <v>2334</v>
      </c>
    </row>
    <row r="15" spans="1:36" s="2603" customFormat="1" hidden="1">
      <c r="A15" s="2643"/>
      <c r="B15" s="2646">
        <v>43160</v>
      </c>
      <c r="C15" s="2643" t="s">
        <v>2347</v>
      </c>
      <c r="D15" s="2643" t="s">
        <v>2348</v>
      </c>
      <c r="E15" s="2647">
        <v>0</v>
      </c>
      <c r="F15" s="2647">
        <v>0</v>
      </c>
      <c r="G15" s="2649">
        <f>F15*E15</f>
        <v>0</v>
      </c>
      <c r="H15" s="2650">
        <v>0</v>
      </c>
      <c r="I15" s="2649">
        <f t="shared" si="1"/>
        <v>0</v>
      </c>
      <c r="J15" s="2613">
        <v>0</v>
      </c>
      <c r="K15" s="2653">
        <f t="shared" si="2"/>
        <v>0</v>
      </c>
      <c r="L15" s="2651">
        <f t="shared" si="3"/>
        <v>0</v>
      </c>
      <c r="M15" s="2652"/>
      <c r="N15" s="2649">
        <f>+K15-Q15</f>
        <v>0</v>
      </c>
      <c r="O15" s="2652" t="s">
        <v>2334</v>
      </c>
      <c r="P15" s="2650">
        <v>0</v>
      </c>
      <c r="Q15" s="2615">
        <v>0</v>
      </c>
      <c r="R15" s="2618">
        <v>0</v>
      </c>
      <c r="S15" s="2655">
        <f t="shared" si="4"/>
        <v>0</v>
      </c>
      <c r="T15" s="2656"/>
      <c r="U15" s="2657">
        <f t="shared" si="5"/>
        <v>0</v>
      </c>
      <c r="V15" s="2603" t="str">
        <f>VLOOKUP(C15,[43]MUFAP!$B$11:$E$140,4,0)</f>
        <v>Traded</v>
      </c>
      <c r="W15" s="2638" t="b">
        <f t="shared" si="6"/>
        <v>0</v>
      </c>
      <c r="Y15" s="2623"/>
      <c r="Z15" s="2624"/>
      <c r="AA15" s="2625"/>
      <c r="AB15" s="2623"/>
      <c r="AJ15" s="2658"/>
    </row>
    <row r="16" spans="1:36" s="2603" customFormat="1">
      <c r="A16" s="2643"/>
      <c r="B16" s="2646">
        <v>43972</v>
      </c>
      <c r="C16" s="2643" t="s">
        <v>2349</v>
      </c>
      <c r="D16" s="2643" t="s">
        <v>2350</v>
      </c>
      <c r="E16" s="2603">
        <v>0</v>
      </c>
      <c r="F16" s="2647">
        <v>0</v>
      </c>
      <c r="G16" s="2649">
        <f>F16*E16</f>
        <v>0</v>
      </c>
      <c r="H16" s="2650">
        <v>0</v>
      </c>
      <c r="I16" s="2649">
        <f>E16*F16*H16/100</f>
        <v>0</v>
      </c>
      <c r="J16" s="2613">
        <v>0</v>
      </c>
      <c r="K16" s="2653">
        <f t="shared" si="2"/>
        <v>0</v>
      </c>
      <c r="L16" s="2651">
        <f t="shared" si="3"/>
        <v>0</v>
      </c>
      <c r="M16" s="2652"/>
      <c r="N16" s="2649">
        <f t="shared" si="7"/>
        <v>0</v>
      </c>
      <c r="O16" s="2652"/>
      <c r="P16" s="2650">
        <v>0</v>
      </c>
      <c r="Q16" s="2615">
        <v>0</v>
      </c>
      <c r="R16" s="2618">
        <v>0</v>
      </c>
      <c r="S16" s="2655">
        <f t="shared" si="4"/>
        <v>0</v>
      </c>
      <c r="T16" s="2656"/>
      <c r="U16" s="2657">
        <f t="shared" si="5"/>
        <v>0</v>
      </c>
      <c r="W16" s="2638"/>
      <c r="Y16" s="2623"/>
      <c r="Z16" s="2624"/>
      <c r="AA16" s="2625"/>
      <c r="AB16" s="2623"/>
      <c r="AJ16" s="2658"/>
    </row>
    <row r="17" spans="1:28" s="2603" customFormat="1">
      <c r="A17" s="2643"/>
      <c r="B17" s="2646"/>
      <c r="C17" s="2643"/>
      <c r="D17" s="2643"/>
      <c r="E17" s="2647"/>
      <c r="F17" s="2647"/>
      <c r="G17" s="2649"/>
      <c r="H17" s="2650"/>
      <c r="I17" s="2649"/>
      <c r="J17" s="2650"/>
      <c r="K17" s="2653"/>
      <c r="L17" s="2651"/>
      <c r="M17" s="2652"/>
      <c r="N17" s="2649"/>
      <c r="O17" s="2652"/>
      <c r="P17" s="2659"/>
      <c r="Q17" s="2659"/>
      <c r="R17" s="2654"/>
      <c r="S17" s="2655"/>
      <c r="T17" s="2656"/>
      <c r="U17" s="2657"/>
      <c r="W17" s="2622"/>
      <c r="Y17" s="2623"/>
      <c r="Z17" s="2624"/>
      <c r="AA17" s="2625"/>
      <c r="AB17" s="2623"/>
    </row>
    <row r="18" spans="1:28" s="2665" customFormat="1" ht="20.25" thickBot="1">
      <c r="A18" s="2660"/>
      <c r="B18" s="2660"/>
      <c r="C18" s="2660"/>
      <c r="D18" s="2660"/>
      <c r="E18" s="2661">
        <f>SUM(E8:E17)</f>
        <v>23015</v>
      </c>
      <c r="F18" s="2661"/>
      <c r="G18" s="2661">
        <f>SUM(G8:G17)</f>
        <v>185965180</v>
      </c>
      <c r="H18" s="2661"/>
      <c r="I18" s="2661">
        <f>SUM(I8:I17)</f>
        <v>181495629.87049997</v>
      </c>
      <c r="J18" s="2661"/>
      <c r="K18" s="2662">
        <f>SUM(K8:K17)</f>
        <v>710759.48441745248</v>
      </c>
      <c r="L18" s="2661">
        <f>SUM(L8:L17)</f>
        <v>182206389.35491744</v>
      </c>
      <c r="M18" s="2660"/>
      <c r="N18" s="2663">
        <f>SUM(N8:N17)</f>
        <v>1217087.093813844</v>
      </c>
      <c r="O18" s="2660"/>
      <c r="P18" s="2660"/>
      <c r="Q18" s="2662">
        <f>SUM(Q8:Q17)</f>
        <v>-506327.60939639155</v>
      </c>
      <c r="R18" s="2660"/>
      <c r="S18" s="2660"/>
      <c r="T18" s="2660"/>
      <c r="U18" s="2664" t="e">
        <f>SUM(U8:U17)</f>
        <v>#N/A</v>
      </c>
    </row>
    <row r="19" spans="1:28" ht="20.25">
      <c r="G19" s="2666"/>
      <c r="H19" s="2667"/>
      <c r="I19" s="2668" t="s">
        <v>2351</v>
      </c>
      <c r="J19" s="2669"/>
      <c r="K19" s="2670"/>
      <c r="L19" s="2671">
        <v>0</v>
      </c>
      <c r="M19" s="2672"/>
      <c r="N19" s="2673"/>
    </row>
    <row r="20" spans="1:28" ht="20.25">
      <c r="G20" s="2667"/>
      <c r="H20" s="2672"/>
      <c r="I20" s="2668" t="s">
        <v>2352</v>
      </c>
      <c r="J20" s="2669"/>
      <c r="K20" s="2670"/>
      <c r="L20" s="2674">
        <f>SUM(L19:L19)</f>
        <v>0</v>
      </c>
      <c r="N20" s="2675"/>
      <c r="P20" s="2599" t="s">
        <v>2353</v>
      </c>
      <c r="Q20" s="2676">
        <f>K18-Q18</f>
        <v>1217087.093813844</v>
      </c>
    </row>
    <row r="21" spans="1:28" ht="21" thickBot="1">
      <c r="G21" s="2676"/>
      <c r="H21" s="2667"/>
      <c r="I21" s="2677"/>
      <c r="J21" s="2669"/>
      <c r="K21" s="2678"/>
      <c r="L21" s="2679"/>
    </row>
    <row r="22" spans="1:28" ht="21" thickBot="1">
      <c r="G22" s="2676"/>
      <c r="H22" s="2672"/>
      <c r="I22" s="2680"/>
      <c r="J22" s="2668" t="s">
        <v>2354</v>
      </c>
      <c r="L22" s="2681">
        <f>L18-L20</f>
        <v>182206389.35491744</v>
      </c>
      <c r="V22" s="2599">
        <v>5</v>
      </c>
      <c r="W22" s="2599">
        <v>100</v>
      </c>
    </row>
    <row r="23" spans="1:28" ht="20.25">
      <c r="E23" s="2682">
        <f>100-93.7111</f>
        <v>6.2888999999999982</v>
      </c>
      <c r="F23" s="2601">
        <f>F22*20*E10</f>
        <v>0</v>
      </c>
      <c r="G23" s="2683"/>
      <c r="I23" s="2680"/>
      <c r="J23" s="2684"/>
      <c r="K23" s="2668"/>
      <c r="L23" s="2674"/>
      <c r="N23" s="2666"/>
      <c r="O23" s="2666"/>
      <c r="W23" s="2599">
        <f>W22/V22</f>
        <v>20</v>
      </c>
    </row>
    <row r="24" spans="1:28">
      <c r="E24" s="2601">
        <f>E23*5000</f>
        <v>31444.499999999989</v>
      </c>
      <c r="F24" s="2602">
        <f>F23/100</f>
        <v>0</v>
      </c>
      <c r="G24" s="2683"/>
      <c r="H24" s="2676"/>
      <c r="I24" s="2685"/>
      <c r="J24" s="2684"/>
      <c r="K24" s="2686"/>
      <c r="L24" s="2687"/>
      <c r="N24" s="2676"/>
      <c r="O24" s="2666"/>
    </row>
    <row r="25" spans="1:28" ht="20.25">
      <c r="E25" s="2688">
        <f>E24/100</f>
        <v>314.44499999999988</v>
      </c>
      <c r="G25" s="2601"/>
      <c r="H25" s="2599">
        <f>E15*(101.8224-100)*10000</f>
        <v>0</v>
      </c>
      <c r="I25" s="2685"/>
      <c r="J25" s="2668" t="s">
        <v>2355</v>
      </c>
      <c r="L25" s="2689">
        <v>182206384.06999999</v>
      </c>
      <c r="W25" s="2599">
        <f>3*W23</f>
        <v>60</v>
      </c>
    </row>
    <row r="26" spans="1:28" ht="20.25">
      <c r="H26" s="2672"/>
      <c r="I26" s="2690"/>
      <c r="J26" s="2668" t="s">
        <v>1</v>
      </c>
      <c r="L26" s="2691">
        <f>L22-L25</f>
        <v>5.2849174439907074</v>
      </c>
      <c r="M26" s="2676"/>
      <c r="N26" s="2676"/>
      <c r="V26" s="2599">
        <v>2</v>
      </c>
      <c r="W26" s="2599">
        <f>W22-W25</f>
        <v>40</v>
      </c>
    </row>
    <row r="27" spans="1:28">
      <c r="H27" s="2672"/>
      <c r="L27" s="2692"/>
    </row>
    <row r="28" spans="1:28">
      <c r="F28" s="2601">
        <f>5000+1643304</f>
        <v>1648304</v>
      </c>
    </row>
    <row r="29" spans="1:28">
      <c r="G29" s="2672"/>
      <c r="H29" s="2676"/>
      <c r="K29" s="2693"/>
      <c r="L29" s="2694"/>
    </row>
    <row r="30" spans="1:28">
      <c r="H30" s="2676"/>
    </row>
    <row r="31" spans="1:28">
      <c r="G31" s="2676"/>
      <c r="H31" s="2601"/>
      <c r="I31" s="2695"/>
      <c r="J31" s="2672"/>
      <c r="L31" s="2672"/>
    </row>
    <row r="32" spans="1:28">
      <c r="G32" s="2694"/>
      <c r="H32" s="2672"/>
      <c r="I32" s="2696"/>
    </row>
    <row r="33" spans="7:12">
      <c r="H33" s="2676"/>
      <c r="I33" s="2697"/>
    </row>
    <row r="34" spans="7:12">
      <c r="G34" s="2672"/>
      <c r="I34" s="2698"/>
    </row>
    <row r="35" spans="7:12">
      <c r="I35" s="2699"/>
      <c r="L35" s="2599" t="s">
        <v>1455</v>
      </c>
    </row>
    <row r="36" spans="7:12">
      <c r="G36" s="2676"/>
      <c r="I36" s="2700"/>
    </row>
    <row r="37" spans="7:12">
      <c r="I37" s="2700"/>
    </row>
    <row r="38" spans="7:12">
      <c r="I38" s="2700"/>
    </row>
    <row r="39" spans="7:12">
      <c r="I39" s="2695"/>
    </row>
    <row r="40" spans="7:12">
      <c r="I40" s="2695"/>
    </row>
  </sheetData>
  <mergeCells count="20">
    <mergeCell ref="R5:R6"/>
    <mergeCell ref="S5:S6"/>
    <mergeCell ref="T5:T6"/>
    <mergeCell ref="U5:U6"/>
    <mergeCell ref="J5:J6"/>
    <mergeCell ref="K5:K6"/>
    <mergeCell ref="L5:L6"/>
    <mergeCell ref="M5:N6"/>
    <mergeCell ref="O5:O6"/>
    <mergeCell ref="P5:Q5"/>
    <mergeCell ref="J4:K4"/>
    <mergeCell ref="A5:A6"/>
    <mergeCell ref="B5:B6"/>
    <mergeCell ref="C5:C6"/>
    <mergeCell ref="D5:D6"/>
    <mergeCell ref="E5:E6"/>
    <mergeCell ref="F5:F6"/>
    <mergeCell ref="G5:G6"/>
    <mergeCell ref="H5:H6"/>
    <mergeCell ref="I5:I6"/>
  </mergeCells>
  <pageMargins left="0.17" right="0.16" top="1.02" bottom="0.75" header="0.3" footer="0.3"/>
  <pageSetup paperSize="9" scale="38"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R57"/>
  <sheetViews>
    <sheetView showGridLines="0" view="pageBreakPreview" topLeftCell="A20" zoomScaleNormal="100" zoomScaleSheetLayoutView="100" workbookViewId="0">
      <selection activeCell="R57" sqref="R57"/>
    </sheetView>
  </sheetViews>
  <sheetFormatPr defaultColWidth="9" defaultRowHeight="12.75"/>
  <cols>
    <col min="1" max="1" width="6.75" style="349" customWidth="1"/>
    <col min="2" max="2" width="4.25" style="349" customWidth="1"/>
    <col min="3" max="3" width="60.75" style="349" customWidth="1"/>
    <col min="4" max="4" width="1.875" style="349" customWidth="1"/>
    <col min="5" max="5" width="1.75" style="349" customWidth="1"/>
    <col min="6" max="6" width="13.625" style="390" customWidth="1"/>
    <col min="7" max="7" width="1.125" style="349" customWidth="1"/>
    <col min="8" max="8" width="13.625" style="377" customWidth="1"/>
    <col min="9" max="9" width="0.875" style="349" customWidth="1"/>
    <col min="10" max="10" width="3.75" style="349" customWidth="1"/>
    <col min="11" max="11" width="17.75" style="349" customWidth="1"/>
    <col min="12" max="12" width="16.375" style="349" customWidth="1"/>
    <col min="13" max="13" width="14.625" style="349" customWidth="1"/>
    <col min="14" max="14" width="13.375" style="349" customWidth="1"/>
    <col min="15" max="15" width="14.5" style="349" customWidth="1"/>
    <col min="16" max="16" width="9" style="349"/>
    <col min="17" max="17" width="11.75" style="349" customWidth="1"/>
    <col min="18" max="18" width="9.375" style="349" customWidth="1"/>
    <col min="19" max="16384" width="9" style="349"/>
  </cols>
  <sheetData>
    <row r="1" spans="1:13" s="316" customFormat="1">
      <c r="A1" s="314" t="s">
        <v>671</v>
      </c>
      <c r="B1" s="315"/>
      <c r="C1" s="315"/>
      <c r="D1" s="315"/>
      <c r="E1" s="315"/>
      <c r="F1" s="315"/>
      <c r="G1" s="315"/>
      <c r="H1" s="315"/>
      <c r="I1" s="315"/>
    </row>
    <row r="2" spans="1:13" s="316" customFormat="1">
      <c r="A2" s="317" t="s">
        <v>748</v>
      </c>
      <c r="B2" s="315"/>
      <c r="C2" s="315"/>
      <c r="D2" s="315"/>
      <c r="E2" s="315"/>
      <c r="F2" s="315"/>
      <c r="G2" s="315"/>
      <c r="H2" s="315"/>
      <c r="I2" s="315"/>
    </row>
    <row r="3" spans="1:13" s="316" customFormat="1">
      <c r="A3" s="155" t="s">
        <v>1590</v>
      </c>
      <c r="B3" s="315"/>
      <c r="C3" s="315"/>
      <c r="D3" s="315"/>
      <c r="E3" s="315"/>
      <c r="F3" s="315"/>
      <c r="G3" s="315"/>
      <c r="H3" s="315"/>
      <c r="I3" s="315"/>
    </row>
    <row r="4" spans="1:13" s="316" customFormat="1" ht="13.5" customHeight="1">
      <c r="A4" s="155"/>
      <c r="B4" s="315"/>
      <c r="C4" s="315"/>
      <c r="D4" s="315"/>
      <c r="E4" s="315"/>
      <c r="F4" s="315"/>
      <c r="G4" s="315"/>
      <c r="H4" s="315"/>
      <c r="I4" s="315"/>
    </row>
    <row r="5" spans="1:13" s="316" customFormat="1">
      <c r="A5" s="318"/>
      <c r="B5" s="315"/>
      <c r="D5" s="315"/>
      <c r="E5" s="315"/>
      <c r="F5" s="315"/>
      <c r="G5" s="315"/>
      <c r="H5" s="315"/>
      <c r="I5" s="315"/>
    </row>
    <row r="6" spans="1:13" s="316" customFormat="1">
      <c r="F6" s="244">
        <v>2017</v>
      </c>
      <c r="G6" s="245"/>
      <c r="H6" s="246">
        <v>2016</v>
      </c>
    </row>
    <row r="7" spans="1:13" s="316" customFormat="1">
      <c r="E7" s="319"/>
      <c r="F7" s="2880" t="s">
        <v>707</v>
      </c>
      <c r="G7" s="2880"/>
      <c r="H7" s="2880"/>
      <c r="I7" s="320"/>
    </row>
    <row r="8" spans="1:13" s="316" customFormat="1" ht="17.25" customHeight="1">
      <c r="F8" s="467"/>
      <c r="G8" s="467"/>
      <c r="H8" s="467"/>
      <c r="I8" s="320"/>
    </row>
    <row r="9" spans="1:13" s="316" customFormat="1">
      <c r="A9" s="316" t="s">
        <v>749</v>
      </c>
      <c r="F9" s="321"/>
      <c r="H9" s="322"/>
      <c r="I9" s="320"/>
    </row>
    <row r="10" spans="1:13" s="316" customFormat="1">
      <c r="F10" s="321"/>
      <c r="H10" s="322"/>
      <c r="I10" s="320"/>
    </row>
    <row r="11" spans="1:13" s="316" customFormat="1">
      <c r="A11" s="323" t="s">
        <v>750</v>
      </c>
      <c r="F11" s="321">
        <f>H36</f>
        <v>109834</v>
      </c>
      <c r="G11" s="324"/>
      <c r="H11" s="325">
        <v>7785</v>
      </c>
      <c r="I11" s="320"/>
      <c r="K11" s="324"/>
      <c r="M11" s="324"/>
    </row>
    <row r="12" spans="1:13" s="316" customFormat="1">
      <c r="A12" s="323" t="s">
        <v>767</v>
      </c>
      <c r="F12" s="321">
        <f>H37</f>
        <v>32813</v>
      </c>
      <c r="G12" s="324"/>
      <c r="H12" s="418">
        <v>51475</v>
      </c>
      <c r="I12" s="320"/>
      <c r="K12" s="324"/>
      <c r="M12" s="324"/>
    </row>
    <row r="13" spans="1:13" s="316" customFormat="1" ht="5.25" customHeight="1">
      <c r="A13" s="323"/>
      <c r="F13" s="321"/>
      <c r="G13" s="324"/>
      <c r="H13" s="326"/>
      <c r="I13" s="320"/>
      <c r="K13" s="324"/>
      <c r="M13" s="324"/>
    </row>
    <row r="14" spans="1:13" s="316" customFormat="1" ht="18" customHeight="1">
      <c r="A14" s="323"/>
      <c r="F14" s="327">
        <f>SUM(F11:F12)</f>
        <v>142647</v>
      </c>
      <c r="G14" s="324"/>
      <c r="H14" s="328">
        <f>SUM(H11:H12)</f>
        <v>59260</v>
      </c>
      <c r="I14" s="320"/>
    </row>
    <row r="15" spans="1:13" s="316" customFormat="1">
      <c r="F15" s="329"/>
      <c r="G15" s="330"/>
      <c r="H15" s="331"/>
      <c r="I15" s="320"/>
    </row>
    <row r="16" spans="1:13" s="333" customFormat="1" ht="20.25" customHeight="1">
      <c r="A16" s="332" t="str">
        <f>IS!A50</f>
        <v>Net element of (loss) / income and capital (losses) / gains included in</v>
      </c>
      <c r="F16" s="334"/>
      <c r="G16" s="330"/>
      <c r="H16" s="335"/>
    </row>
    <row r="17" spans="1:14" s="333" customFormat="1">
      <c r="A17" s="336" t="s">
        <v>751</v>
      </c>
      <c r="F17" s="337">
        <f>-Lead!K388</f>
        <v>0</v>
      </c>
      <c r="G17" s="330"/>
      <c r="H17" s="338">
        <v>104865</v>
      </c>
    </row>
    <row r="18" spans="1:14" s="333" customFormat="1">
      <c r="A18" s="336"/>
      <c r="F18" s="337"/>
      <c r="G18" s="330"/>
      <c r="H18" s="338"/>
    </row>
    <row r="19" spans="1:14" s="398" customFormat="1" ht="18" customHeight="1">
      <c r="A19" s="397" t="s">
        <v>752</v>
      </c>
      <c r="F19" s="399" t="e">
        <f>IS!#REF!</f>
        <v>#REF!</v>
      </c>
      <c r="G19" s="400"/>
      <c r="H19" s="401">
        <v>80054</v>
      </c>
    </row>
    <row r="20" spans="1:14" s="316" customFormat="1" ht="18.75" customHeight="1">
      <c r="A20" s="342"/>
      <c r="F20" s="343" t="e">
        <f>SUM(F17:F19)</f>
        <v>#REF!</v>
      </c>
      <c r="G20" s="330"/>
      <c r="H20" s="344">
        <f>SUM(H17:H19)</f>
        <v>184919</v>
      </c>
      <c r="I20" s="333"/>
    </row>
    <row r="21" spans="1:14" s="316" customFormat="1">
      <c r="A21" s="342"/>
      <c r="F21" s="345"/>
      <c r="G21" s="330"/>
      <c r="H21" s="346"/>
      <c r="I21" s="333"/>
    </row>
    <row r="22" spans="1:14" s="316" customFormat="1">
      <c r="A22" s="380" t="s">
        <v>753</v>
      </c>
      <c r="F22" s="345"/>
      <c r="G22" s="330"/>
      <c r="H22" s="346"/>
      <c r="I22" s="333"/>
    </row>
    <row r="23" spans="1:14" s="316" customFormat="1">
      <c r="A23" s="380"/>
      <c r="F23" s="345"/>
      <c r="G23" s="330"/>
      <c r="H23" s="346"/>
      <c r="I23" s="333"/>
    </row>
    <row r="24" spans="1:14" ht="18.75" customHeight="1">
      <c r="A24" s="2881" t="s">
        <v>754</v>
      </c>
      <c r="B24" s="2881"/>
      <c r="C24" s="2881"/>
      <c r="D24" s="2881"/>
      <c r="E24" s="316"/>
      <c r="F24" s="347"/>
      <c r="G24" s="330"/>
      <c r="H24" s="348"/>
      <c r="I24" s="339"/>
    </row>
    <row r="25" spans="1:14">
      <c r="A25" s="2881"/>
      <c r="B25" s="2881"/>
      <c r="C25" s="2881"/>
      <c r="D25" s="2881"/>
      <c r="E25" s="350"/>
      <c r="F25" s="351">
        <v>0</v>
      </c>
      <c r="G25" s="330"/>
      <c r="H25" s="352">
        <v>-101532</v>
      </c>
      <c r="I25" s="353"/>
    </row>
    <row r="26" spans="1:14">
      <c r="A26" s="468"/>
      <c r="B26" s="468"/>
      <c r="C26" s="468"/>
      <c r="D26" s="468"/>
      <c r="E26" s="350"/>
      <c r="F26" s="351"/>
      <c r="G26" s="330"/>
      <c r="H26" s="352"/>
      <c r="I26" s="353"/>
    </row>
    <row r="27" spans="1:14" ht="12.75" customHeight="1">
      <c r="A27" s="2881" t="s">
        <v>1480</v>
      </c>
      <c r="B27" s="2881"/>
      <c r="C27" s="2881"/>
      <c r="D27" s="2881"/>
      <c r="E27" s="354"/>
      <c r="F27" s="355"/>
      <c r="G27" s="340"/>
      <c r="H27" s="356"/>
      <c r="I27" s="353"/>
      <c r="K27" s="357" t="s">
        <v>755</v>
      </c>
      <c r="L27" s="357" t="s">
        <v>756</v>
      </c>
      <c r="M27" s="358" t="s">
        <v>757</v>
      </c>
      <c r="N27" s="358" t="s">
        <v>758</v>
      </c>
    </row>
    <row r="28" spans="1:14">
      <c r="A28" s="2881"/>
      <c r="B28" s="2881"/>
      <c r="C28" s="2881"/>
      <c r="D28" s="2881"/>
      <c r="E28" s="354"/>
      <c r="F28" s="355">
        <f>-ROUND(N28/1000,0)</f>
        <v>-63768</v>
      </c>
      <c r="G28" s="340"/>
      <c r="H28" s="356">
        <v>0</v>
      </c>
      <c r="I28" s="353"/>
      <c r="K28" s="359">
        <v>2.75</v>
      </c>
      <c r="L28" s="359">
        <v>23188390.725299999</v>
      </c>
      <c r="M28" s="360">
        <f>L28*K28</f>
        <v>63768074.494574994</v>
      </c>
      <c r="N28" s="361">
        <f>M28-7</f>
        <v>63768067.494574994</v>
      </c>
    </row>
    <row r="29" spans="1:14">
      <c r="A29" s="362"/>
      <c r="B29" s="362"/>
      <c r="C29" s="362"/>
      <c r="D29" s="362"/>
      <c r="E29" s="354"/>
      <c r="F29" s="363"/>
      <c r="G29" s="340"/>
      <c r="H29" s="341"/>
      <c r="I29" s="353"/>
    </row>
    <row r="30" spans="1:14" s="406" customFormat="1" ht="20.25" customHeight="1">
      <c r="A30" s="364"/>
      <c r="B30" s="364"/>
      <c r="C30" s="364"/>
      <c r="D30" s="364"/>
      <c r="E30" s="364"/>
      <c r="F30" s="402">
        <f>SUM(F24:F29)</f>
        <v>-63768</v>
      </c>
      <c r="G30" s="403"/>
      <c r="H30" s="404">
        <f>SUM(H24:H29)</f>
        <v>-101532</v>
      </c>
      <c r="I30" s="405"/>
    </row>
    <row r="31" spans="1:14" hidden="1">
      <c r="A31" s="365"/>
      <c r="B31" s="366"/>
      <c r="C31" s="316"/>
      <c r="D31" s="316"/>
      <c r="E31" s="316"/>
      <c r="F31" s="343"/>
      <c r="G31" s="330"/>
      <c r="H31" s="344"/>
      <c r="I31" s="353"/>
    </row>
    <row r="32" spans="1:14" s="406" customFormat="1" ht="21" customHeight="1" thickBot="1">
      <c r="A32" s="407" t="s">
        <v>759</v>
      </c>
      <c r="B32" s="364"/>
      <c r="C32" s="364"/>
      <c r="D32" s="364"/>
      <c r="E32" s="364"/>
      <c r="F32" s="408" t="e">
        <f>+F14+F20+F30</f>
        <v>#REF!</v>
      </c>
      <c r="G32" s="409"/>
      <c r="H32" s="410">
        <f>+H14+H20+H30</f>
        <v>142647</v>
      </c>
      <c r="I32" s="405"/>
      <c r="J32" s="411"/>
      <c r="K32" s="106"/>
      <c r="L32" s="106"/>
      <c r="M32" s="106"/>
    </row>
    <row r="33" spans="1:18" ht="13.5" thickTop="1">
      <c r="A33" s="368"/>
      <c r="B33" s="316"/>
      <c r="C33" s="316"/>
      <c r="D33" s="316"/>
      <c r="E33" s="316"/>
      <c r="F33" s="369"/>
      <c r="G33" s="324"/>
      <c r="H33" s="324"/>
      <c r="I33" s="370"/>
      <c r="J33" s="127"/>
      <c r="K33" s="101"/>
      <c r="L33" s="101"/>
      <c r="M33" s="101"/>
    </row>
    <row r="34" spans="1:18">
      <c r="A34" s="367" t="s">
        <v>760</v>
      </c>
      <c r="B34" s="316"/>
      <c r="C34" s="316"/>
      <c r="D34" s="316"/>
      <c r="E34" s="316"/>
      <c r="F34" s="369"/>
      <c r="G34" s="324"/>
      <c r="H34" s="324"/>
      <c r="I34" s="370"/>
    </row>
    <row r="35" spans="1:18">
      <c r="A35" s="367"/>
      <c r="B35" s="316"/>
      <c r="C35" s="316"/>
      <c r="D35" s="316"/>
      <c r="E35" s="316"/>
      <c r="F35" s="369"/>
      <c r="G35" s="324"/>
      <c r="H35" s="324"/>
      <c r="I35" s="370"/>
      <c r="K35" s="2882" t="s">
        <v>761</v>
      </c>
      <c r="L35" s="2883"/>
      <c r="M35" s="2883"/>
      <c r="N35" s="2883"/>
      <c r="O35" s="2883"/>
      <c r="P35" s="2883"/>
      <c r="Q35" s="2883"/>
      <c r="R35" s="2884"/>
    </row>
    <row r="36" spans="1:18">
      <c r="A36" s="371" t="s">
        <v>750</v>
      </c>
      <c r="F36" s="372" t="e">
        <f>F39-F37</f>
        <v>#REF!</v>
      </c>
      <c r="G36" s="373"/>
      <c r="H36" s="373">
        <v>109834</v>
      </c>
      <c r="I36" s="370"/>
      <c r="K36" s="374" t="s">
        <v>762</v>
      </c>
      <c r="L36" s="374" t="s">
        <v>763</v>
      </c>
      <c r="M36" s="374" t="s">
        <v>764</v>
      </c>
      <c r="N36" s="2882" t="s">
        <v>765</v>
      </c>
      <c r="O36" s="2883"/>
      <c r="P36" s="2883"/>
      <c r="Q36" s="2884"/>
      <c r="R36" s="374" t="s">
        <v>766</v>
      </c>
    </row>
    <row r="37" spans="1:18">
      <c r="A37" s="371" t="s">
        <v>767</v>
      </c>
      <c r="F37" s="204" t="e">
        <f>'Unrealized Working'!G17</f>
        <v>#REF!</v>
      </c>
      <c r="G37" s="373"/>
      <c r="H37" s="373">
        <v>32813</v>
      </c>
      <c r="I37" s="370"/>
      <c r="K37" s="375">
        <f>H37</f>
        <v>32813</v>
      </c>
      <c r="L37" s="375" t="e">
        <f>IS!#REF!</f>
        <v>#REF!</v>
      </c>
      <c r="M37" s="375" t="e">
        <f>OCI!#REF!</f>
        <v>#REF!</v>
      </c>
      <c r="N37" s="2885">
        <v>-14293.194937219643</v>
      </c>
      <c r="O37" s="2886"/>
      <c r="P37" s="2886"/>
      <c r="Q37" s="2887"/>
      <c r="R37" s="375" t="e">
        <f>K37+L37+M37+N37</f>
        <v>#REF!</v>
      </c>
    </row>
    <row r="38" spans="1:18" ht="6" customHeight="1">
      <c r="A38" s="371"/>
      <c r="F38" s="204"/>
      <c r="G38" s="373"/>
      <c r="H38" s="373"/>
      <c r="I38" s="370"/>
      <c r="K38" s="416"/>
      <c r="L38" s="416"/>
      <c r="M38" s="416"/>
      <c r="N38" s="417"/>
      <c r="O38" s="417"/>
      <c r="P38" s="417"/>
      <c r="Q38" s="417"/>
      <c r="R38" s="416"/>
    </row>
    <row r="39" spans="1:18" s="406" customFormat="1" ht="21" customHeight="1" thickBot="1">
      <c r="A39" s="380"/>
      <c r="B39" s="364"/>
      <c r="C39" s="364"/>
      <c r="D39" s="364"/>
      <c r="E39" s="364"/>
      <c r="F39" s="408" t="e">
        <f>F32</f>
        <v>#REF!</v>
      </c>
      <c r="G39" s="409"/>
      <c r="H39" s="410">
        <f>SUM(H36:H37)</f>
        <v>142647</v>
      </c>
      <c r="I39" s="412"/>
      <c r="J39" s="413"/>
      <c r="M39" s="414"/>
      <c r="N39" s="415"/>
    </row>
    <row r="40" spans="1:18" s="316" customFormat="1" ht="13.5" thickTop="1">
      <c r="H40" s="369"/>
      <c r="K40" s="376"/>
      <c r="L40" s="377"/>
      <c r="M40" s="378"/>
      <c r="N40" s="372"/>
    </row>
    <row r="41" spans="1:18" s="316" customFormat="1" ht="13.5" thickTop="1">
      <c r="H41" s="369"/>
      <c r="K41" s="364"/>
      <c r="L41" s="379"/>
      <c r="M41" s="379"/>
      <c r="N41" s="379"/>
    </row>
    <row r="42" spans="1:18" s="364" customFormat="1">
      <c r="A42" s="364" t="str">
        <f>IS!A84</f>
        <v>The annexed notes from 1 to 19 form an integral part of these condensed interim financial statements.</v>
      </c>
      <c r="H42" s="380"/>
      <c r="L42" s="381"/>
      <c r="M42" s="381"/>
      <c r="N42" s="379"/>
    </row>
    <row r="43" spans="1:18" s="316" customFormat="1" ht="7.5" customHeight="1">
      <c r="A43" s="364"/>
      <c r="B43" s="364"/>
      <c r="C43" s="364"/>
      <c r="D43" s="364"/>
      <c r="E43" s="364"/>
      <c r="F43" s="364"/>
      <c r="G43" s="364"/>
      <c r="H43" s="380"/>
      <c r="I43" s="364"/>
      <c r="L43" s="381"/>
      <c r="M43" s="382"/>
      <c r="N43" s="379"/>
    </row>
    <row r="44" spans="1:18" s="316" customFormat="1">
      <c r="A44" s="364"/>
      <c r="B44" s="364"/>
      <c r="C44" s="364"/>
      <c r="D44" s="364"/>
      <c r="E44" s="364"/>
      <c r="F44" s="364"/>
      <c r="G44" s="364"/>
      <c r="H44" s="380"/>
      <c r="I44" s="364"/>
      <c r="L44" s="381"/>
      <c r="M44" s="382"/>
      <c r="N44" s="379"/>
    </row>
    <row r="45" spans="1:18" s="316" customFormat="1">
      <c r="A45" s="364"/>
      <c r="B45" s="364"/>
      <c r="C45" s="364"/>
      <c r="D45" s="364"/>
      <c r="E45" s="364"/>
      <c r="F45" s="364"/>
      <c r="G45" s="364"/>
      <c r="H45" s="380"/>
      <c r="I45" s="364"/>
      <c r="L45" s="381"/>
      <c r="M45" s="382"/>
      <c r="N45" s="379"/>
    </row>
    <row r="46" spans="1:18" s="316" customFormat="1">
      <c r="A46" s="364"/>
      <c r="B46" s="364"/>
      <c r="C46" s="364"/>
      <c r="D46" s="364"/>
      <c r="E46" s="364"/>
      <c r="F46" s="364"/>
      <c r="G46" s="364"/>
      <c r="H46" s="380"/>
      <c r="I46" s="364"/>
    </row>
    <row r="47" spans="1:18" s="316" customFormat="1">
      <c r="A47" s="2888" t="s">
        <v>703</v>
      </c>
      <c r="B47" s="2888"/>
      <c r="C47" s="2888"/>
      <c r="D47" s="2888"/>
      <c r="E47" s="2888"/>
      <c r="F47" s="2888"/>
      <c r="G47" s="2888"/>
      <c r="H47" s="2888"/>
      <c r="I47" s="469"/>
      <c r="K47" s="316" t="s">
        <v>1398</v>
      </c>
    </row>
    <row r="48" spans="1:18" s="316" customFormat="1">
      <c r="A48" s="2880" t="s">
        <v>704</v>
      </c>
      <c r="B48" s="2880"/>
      <c r="C48" s="2880"/>
      <c r="D48" s="2880"/>
      <c r="E48" s="2880"/>
      <c r="F48" s="2880"/>
      <c r="G48" s="2880"/>
      <c r="H48" s="2880"/>
      <c r="I48" s="383"/>
    </row>
    <row r="49" spans="1:15" s="316" customFormat="1">
      <c r="A49" s="467"/>
      <c r="B49" s="467"/>
      <c r="C49" s="467"/>
      <c r="D49" s="467"/>
      <c r="E49" s="467"/>
      <c r="F49" s="467"/>
      <c r="G49" s="467"/>
      <c r="H49" s="467"/>
      <c r="I49" s="383"/>
    </row>
    <row r="50" spans="1:15" s="316" customFormat="1">
      <c r="A50" s="467"/>
      <c r="B50" s="467"/>
      <c r="C50" s="467"/>
      <c r="D50" s="467"/>
      <c r="E50" s="467"/>
      <c r="F50" s="467"/>
      <c r="G50" s="467"/>
      <c r="H50" s="467"/>
      <c r="I50" s="383"/>
    </row>
    <row r="51" spans="1:15" s="316" customFormat="1">
      <c r="A51" s="383"/>
      <c r="B51" s="383"/>
      <c r="C51" s="383"/>
      <c r="D51" s="383"/>
      <c r="E51" s="383"/>
      <c r="F51" s="383"/>
      <c r="G51" s="383"/>
      <c r="H51" s="383"/>
      <c r="I51" s="383"/>
      <c r="K51" s="384" t="s">
        <v>1438</v>
      </c>
      <c r="L51" s="385">
        <v>40900</v>
      </c>
      <c r="M51" s="382">
        <v>82</v>
      </c>
      <c r="N51" s="382">
        <v>1000000</v>
      </c>
      <c r="O51" s="382">
        <f t="shared" ref="O51:O56" si="0">M51*N51</f>
        <v>82000000</v>
      </c>
    </row>
    <row r="52" spans="1:15" s="316" customFormat="1">
      <c r="A52" s="383"/>
      <c r="B52" s="383"/>
      <c r="C52" s="383"/>
      <c r="D52" s="383"/>
      <c r="E52" s="383"/>
      <c r="F52" s="383"/>
      <c r="G52" s="383"/>
      <c r="H52" s="383"/>
      <c r="I52" s="383"/>
      <c r="K52" s="384" t="s">
        <v>1438</v>
      </c>
      <c r="L52" s="385">
        <v>41912</v>
      </c>
      <c r="M52" s="382">
        <v>15000</v>
      </c>
      <c r="N52" s="382">
        <v>5000</v>
      </c>
      <c r="O52" s="382">
        <f t="shared" si="0"/>
        <v>75000000</v>
      </c>
    </row>
    <row r="53" spans="1:15" s="316" customFormat="1">
      <c r="B53" s="380"/>
      <c r="C53" s="380"/>
      <c r="D53" s="380"/>
      <c r="E53" s="386"/>
      <c r="F53" s="386"/>
      <c r="G53" s="386"/>
      <c r="H53" s="380"/>
      <c r="I53" s="380"/>
      <c r="K53" s="384" t="s">
        <v>994</v>
      </c>
      <c r="L53" s="385">
        <v>42446</v>
      </c>
      <c r="M53" s="382">
        <v>9000</v>
      </c>
      <c r="N53" s="382">
        <v>5000</v>
      </c>
      <c r="O53" s="382">
        <f t="shared" si="0"/>
        <v>45000000</v>
      </c>
    </row>
    <row r="54" spans="1:15" s="316" customFormat="1">
      <c r="B54" s="380"/>
      <c r="C54" s="380"/>
      <c r="D54" s="380"/>
      <c r="E54" s="386"/>
      <c r="F54" s="386"/>
      <c r="G54" s="386"/>
      <c r="H54" s="380"/>
      <c r="I54" s="380"/>
      <c r="K54" s="384" t="s">
        <v>1439</v>
      </c>
      <c r="L54" s="385">
        <v>41325</v>
      </c>
      <c r="M54" s="382">
        <v>11581</v>
      </c>
      <c r="N54" s="382">
        <v>5000</v>
      </c>
      <c r="O54" s="382">
        <f t="shared" si="0"/>
        <v>57905000</v>
      </c>
    </row>
    <row r="55" spans="1:15" s="388" customFormat="1">
      <c r="A55" s="387"/>
      <c r="B55" s="387"/>
      <c r="D55" s="466"/>
      <c r="E55" s="387"/>
      <c r="F55" s="2879"/>
      <c r="G55" s="2879"/>
      <c r="H55" s="2879"/>
      <c r="K55" s="384" t="s">
        <v>1440</v>
      </c>
      <c r="L55" s="385">
        <v>42419</v>
      </c>
      <c r="M55" s="389">
        <v>1250</v>
      </c>
      <c r="N55" s="389">
        <v>100000</v>
      </c>
      <c r="O55" s="382">
        <f t="shared" si="0"/>
        <v>125000000</v>
      </c>
    </row>
    <row r="56" spans="1:15" s="388" customFormat="1">
      <c r="A56" s="387"/>
      <c r="B56" s="387" t="s">
        <v>768</v>
      </c>
      <c r="E56" s="466"/>
      <c r="G56" s="466" t="s">
        <v>769</v>
      </c>
      <c r="K56" s="384" t="s">
        <v>1441</v>
      </c>
      <c r="L56" s="385">
        <v>39493</v>
      </c>
      <c r="M56" s="379">
        <v>975</v>
      </c>
      <c r="N56" s="389">
        <v>100000</v>
      </c>
      <c r="O56" s="382">
        <f t="shared" si="0"/>
        <v>97500000</v>
      </c>
    </row>
    <row r="57" spans="1:15">
      <c r="K57" s="384"/>
      <c r="L57" s="385"/>
      <c r="M57" s="379"/>
      <c r="N57" s="379"/>
      <c r="O57" s="373">
        <f>SUM(O51:O56)</f>
        <v>482405000</v>
      </c>
    </row>
  </sheetData>
  <mergeCells count="9">
    <mergeCell ref="F55:H55"/>
    <mergeCell ref="F7:H7"/>
    <mergeCell ref="A24:D25"/>
    <mergeCell ref="A27:D28"/>
    <mergeCell ref="K35:R35"/>
    <mergeCell ref="N36:Q36"/>
    <mergeCell ref="N37:Q37"/>
    <mergeCell ref="A47:H47"/>
    <mergeCell ref="A48:H48"/>
  </mergeCells>
  <pageMargins left="0.63" right="0.35" top="0.61" bottom="0.35" header="0.5" footer="0.17"/>
  <pageSetup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S67"/>
  <sheetViews>
    <sheetView showGridLines="0" view="pageBreakPreview" topLeftCell="A33" zoomScaleNormal="100" zoomScaleSheetLayoutView="100" workbookViewId="0">
      <selection activeCell="S67" sqref="S67"/>
    </sheetView>
  </sheetViews>
  <sheetFormatPr defaultColWidth="9" defaultRowHeight="12.75"/>
  <cols>
    <col min="1" max="2" width="1.875" style="312" customWidth="1"/>
    <col min="3" max="3" width="62.875" style="312" customWidth="1"/>
    <col min="4" max="4" width="6.375" style="312" customWidth="1"/>
    <col min="5" max="5" width="1.75" style="312" customWidth="1"/>
    <col min="6" max="6" width="13.625" style="313" customWidth="1"/>
    <col min="7" max="7" width="1" style="312" customWidth="1"/>
    <col min="8" max="8" width="13.625" style="312" customWidth="1"/>
    <col min="9" max="10" width="13.25" style="312" customWidth="1"/>
    <col min="11" max="11" width="19.5" style="101" customWidth="1"/>
    <col min="12" max="12" width="17.5" style="101" customWidth="1"/>
    <col min="13" max="13" width="19.5" style="101" customWidth="1"/>
    <col min="14" max="15" width="9" style="312"/>
    <col min="16" max="16" width="23.875" style="312" customWidth="1"/>
    <col min="17" max="17" width="17.875" style="312" customWidth="1"/>
    <col min="18" max="18" width="20.375" style="312" customWidth="1"/>
    <col min="19" max="19" width="16.5" style="312" customWidth="1"/>
    <col min="20" max="16384" width="9" style="312"/>
  </cols>
  <sheetData>
    <row r="1" spans="1:19" s="238" customFormat="1">
      <c r="A1" s="155" t="s">
        <v>671</v>
      </c>
      <c r="B1" s="236"/>
      <c r="C1" s="236"/>
      <c r="D1" s="236"/>
      <c r="E1" s="236"/>
      <c r="F1" s="237" t="s">
        <v>739</v>
      </c>
      <c r="G1" s="236"/>
      <c r="H1" s="236"/>
      <c r="I1" s="236"/>
      <c r="J1" s="236"/>
      <c r="K1" s="147"/>
      <c r="L1" s="465" t="s">
        <v>770</v>
      </c>
      <c r="M1" s="465" t="s">
        <v>771</v>
      </c>
    </row>
    <row r="2" spans="1:19" s="238" customFormat="1">
      <c r="A2" s="155" t="s">
        <v>772</v>
      </c>
      <c r="B2" s="236"/>
      <c r="C2" s="236"/>
      <c r="D2" s="236"/>
      <c r="E2" s="236"/>
      <c r="F2" s="237"/>
      <c r="G2" s="236"/>
      <c r="H2" s="236"/>
      <c r="I2" s="236"/>
      <c r="J2" s="236"/>
      <c r="K2" s="147" t="s">
        <v>773</v>
      </c>
      <c r="L2" s="147"/>
      <c r="M2" s="147"/>
    </row>
    <row r="3" spans="1:19" s="238" customFormat="1">
      <c r="A3" s="155" t="s">
        <v>705</v>
      </c>
      <c r="B3" s="236"/>
      <c r="C3" s="236"/>
      <c r="D3" s="236"/>
      <c r="E3" s="236"/>
      <c r="F3" s="239"/>
      <c r="G3" s="236"/>
      <c r="H3" s="236"/>
      <c r="I3" s="236"/>
      <c r="J3" s="236"/>
      <c r="K3" s="147" t="s">
        <v>774</v>
      </c>
      <c r="L3" s="147">
        <v>39477841.859800018</v>
      </c>
      <c r="M3" s="147">
        <v>2151324368.7800007</v>
      </c>
      <c r="P3" s="238" t="s">
        <v>1369</v>
      </c>
      <c r="Q3" s="240">
        <v>496.57370000000003</v>
      </c>
      <c r="R3" s="240">
        <v>27000</v>
      </c>
      <c r="S3" s="241"/>
    </row>
    <row r="4" spans="1:19" s="238" customFormat="1">
      <c r="A4" s="242"/>
      <c r="B4" s="236"/>
      <c r="C4" s="236"/>
      <c r="D4" s="236"/>
      <c r="E4" s="236"/>
      <c r="F4" s="239"/>
      <c r="G4" s="236"/>
      <c r="H4" s="236"/>
      <c r="I4" s="236"/>
      <c r="J4" s="236"/>
      <c r="K4" s="147" t="s">
        <v>775</v>
      </c>
      <c r="L4" s="147">
        <v>64418405.464400031</v>
      </c>
      <c r="M4" s="147">
        <v>3496069009.6600013</v>
      </c>
      <c r="P4" s="238" t="s">
        <v>782</v>
      </c>
      <c r="Q4" s="240">
        <v>-2370.7091999999998</v>
      </c>
      <c r="R4" s="240">
        <v>-127456</v>
      </c>
      <c r="S4" s="241"/>
    </row>
    <row r="5" spans="1:19" s="238" customFormat="1">
      <c r="A5" s="243"/>
      <c r="F5" s="244">
        <v>2017</v>
      </c>
      <c r="G5" s="245"/>
      <c r="H5" s="246">
        <v>2016</v>
      </c>
      <c r="I5" s="246"/>
      <c r="J5" s="246"/>
      <c r="K5" s="147" t="s">
        <v>776</v>
      </c>
      <c r="L5" s="147">
        <v>3024065.5917999996</v>
      </c>
      <c r="M5" s="147">
        <v>164566997.16</v>
      </c>
      <c r="P5" s="238" t="s">
        <v>1370</v>
      </c>
      <c r="Q5" s="240">
        <v>7707.4526999999998</v>
      </c>
      <c r="R5" s="240">
        <v>408340.83999999997</v>
      </c>
      <c r="S5" s="241"/>
    </row>
    <row r="6" spans="1:19" s="238" customFormat="1">
      <c r="A6" s="247"/>
      <c r="E6" s="248"/>
      <c r="F6" s="2890" t="s">
        <v>707</v>
      </c>
      <c r="G6" s="2890"/>
      <c r="H6" s="2890"/>
      <c r="I6" s="471"/>
      <c r="J6" s="471"/>
      <c r="K6" s="147" t="s">
        <v>777</v>
      </c>
      <c r="L6" s="147">
        <v>1035718.0297000004</v>
      </c>
      <c r="M6" s="241">
        <v>54927752.30999998</v>
      </c>
      <c r="P6" s="238" t="s">
        <v>1371</v>
      </c>
      <c r="Q6" s="240">
        <v>64418405.464400031</v>
      </c>
      <c r="R6" s="240">
        <v>3496069009.6600013</v>
      </c>
      <c r="S6" s="241"/>
    </row>
    <row r="7" spans="1:19" s="238" customFormat="1" ht="18.75" customHeight="1">
      <c r="A7" s="247"/>
      <c r="F7" s="249"/>
      <c r="K7" s="147" t="s">
        <v>1373</v>
      </c>
      <c r="L7" s="241">
        <v>26721.634600000001</v>
      </c>
      <c r="M7" s="241">
        <v>1475000</v>
      </c>
      <c r="P7" s="238" t="s">
        <v>1372</v>
      </c>
      <c r="Q7" s="240">
        <v>-74592319.540700048</v>
      </c>
      <c r="R7" s="240">
        <v>-4097180118.4899993</v>
      </c>
      <c r="S7" s="241"/>
    </row>
    <row r="8" spans="1:19" s="238" customFormat="1">
      <c r="A8" s="250" t="s">
        <v>778</v>
      </c>
      <c r="E8" s="151"/>
      <c r="F8" s="142">
        <f>+H46</f>
        <v>2462552</v>
      </c>
      <c r="G8" s="147"/>
      <c r="H8" s="133">
        <v>968708</v>
      </c>
      <c r="I8" s="133"/>
      <c r="J8" s="133"/>
      <c r="K8" s="147" t="s">
        <v>1370</v>
      </c>
      <c r="L8" s="147">
        <v>7707.4526999999998</v>
      </c>
      <c r="M8" s="241">
        <v>408340.83999999997</v>
      </c>
      <c r="P8" s="238" t="s">
        <v>1373</v>
      </c>
      <c r="Q8" s="240">
        <v>26721.634600000001</v>
      </c>
      <c r="R8" s="240">
        <v>1475000</v>
      </c>
      <c r="S8" s="241"/>
    </row>
    <row r="9" spans="1:19" s="252" customFormat="1" ht="9.75" customHeight="1">
      <c r="A9" s="251"/>
      <c r="E9" s="253"/>
      <c r="F9" s="465"/>
      <c r="G9" s="147"/>
      <c r="H9" s="465"/>
      <c r="I9" s="465"/>
      <c r="J9" s="465"/>
      <c r="K9" s="252" t="s">
        <v>1375</v>
      </c>
      <c r="L9" s="252">
        <v>175.57740000000001</v>
      </c>
      <c r="M9" s="241">
        <v>9537.2000000000007</v>
      </c>
      <c r="P9" s="252" t="s">
        <v>1374</v>
      </c>
      <c r="Q9" s="240">
        <v>-43751727.968099937</v>
      </c>
      <c r="R9" s="240">
        <v>-2377257518.5100002</v>
      </c>
      <c r="S9" s="241"/>
    </row>
    <row r="10" spans="1:19" s="255" customFormat="1" ht="18.75" customHeight="1">
      <c r="A10" s="254" t="s">
        <v>1454</v>
      </c>
      <c r="C10" s="254"/>
      <c r="E10" s="256"/>
      <c r="F10" s="257">
        <f>-Lead!Q207</f>
        <v>0</v>
      </c>
      <c r="G10" s="101"/>
      <c r="H10" s="258">
        <v>6785094</v>
      </c>
      <c r="I10" s="259">
        <f>Lead!Q207</f>
        <v>0</v>
      </c>
      <c r="J10" s="259">
        <f>I10+F10</f>
        <v>0</v>
      </c>
      <c r="K10" s="252" t="s">
        <v>1369</v>
      </c>
      <c r="L10" s="252">
        <v>496.57370000000003</v>
      </c>
      <c r="M10" s="241">
        <v>27000</v>
      </c>
      <c r="P10" s="255" t="s">
        <v>1375</v>
      </c>
      <c r="Q10" s="98">
        <v>175.57740000000001</v>
      </c>
      <c r="R10" s="98">
        <v>9537.2000000000007</v>
      </c>
      <c r="S10" s="98"/>
    </row>
    <row r="11" spans="1:19" s="255" customFormat="1" ht="13.5" customHeight="1">
      <c r="A11" s="254"/>
      <c r="B11" s="2891" t="s">
        <v>1456</v>
      </c>
      <c r="C11" s="2891"/>
      <c r="D11" s="472"/>
      <c r="E11" s="256"/>
      <c r="F11" s="260"/>
      <c r="G11" s="101"/>
      <c r="H11" s="261"/>
      <c r="I11" s="259">
        <f>Lead!Q209</f>
        <v>0</v>
      </c>
      <c r="J11" s="259">
        <f>I11+F15</f>
        <v>0</v>
      </c>
      <c r="K11" s="147"/>
      <c r="L11" s="153">
        <f>SUM(L3:L10)</f>
        <v>107991132.18410005</v>
      </c>
      <c r="M11" s="153">
        <f>SUM(M3:M10)</f>
        <v>5868808005.9500027</v>
      </c>
      <c r="P11" s="255" t="s">
        <v>1376</v>
      </c>
      <c r="Q11" s="98">
        <v>-5048.2554</v>
      </c>
      <c r="R11" s="98">
        <v>-272000</v>
      </c>
      <c r="S11" s="98"/>
    </row>
    <row r="12" spans="1:19" s="255" customFormat="1" ht="13.5" customHeight="1">
      <c r="A12" s="254"/>
      <c r="B12" s="2891"/>
      <c r="C12" s="2891"/>
      <c r="D12" s="472"/>
      <c r="E12" s="256"/>
      <c r="F12" s="260"/>
      <c r="G12" s="101"/>
      <c r="H12" s="261"/>
      <c r="I12" s="259"/>
      <c r="J12" s="259"/>
      <c r="K12" s="147"/>
      <c r="L12" s="147"/>
      <c r="M12" s="147"/>
      <c r="P12" s="255" t="s">
        <v>1377</v>
      </c>
      <c r="Q12" s="262">
        <v>39477841.859800018</v>
      </c>
      <c r="R12" s="262">
        <v>2166641964.3899999</v>
      </c>
      <c r="S12" s="98"/>
    </row>
    <row r="13" spans="1:19" s="255" customFormat="1" ht="13.5" customHeight="1">
      <c r="A13" s="254"/>
      <c r="B13" s="2891"/>
      <c r="C13" s="2891"/>
      <c r="D13" s="472"/>
      <c r="E13" s="256"/>
      <c r="F13" s="263"/>
      <c r="H13" s="263"/>
      <c r="I13" s="264"/>
      <c r="J13" s="264"/>
      <c r="K13" s="101" t="s">
        <v>779</v>
      </c>
      <c r="L13" s="101"/>
      <c r="M13" s="101"/>
      <c r="P13" s="255" t="s">
        <v>1378</v>
      </c>
      <c r="Q13" s="265">
        <v>3024065.5917999996</v>
      </c>
      <c r="R13" s="262">
        <v>164566997.16</v>
      </c>
      <c r="S13" s="98"/>
    </row>
    <row r="14" spans="1:19" s="255" customFormat="1" ht="6" customHeight="1">
      <c r="A14" s="254"/>
      <c r="B14" s="472"/>
      <c r="C14" s="472"/>
      <c r="D14" s="472"/>
      <c r="E14" s="256"/>
      <c r="F14" s="260"/>
      <c r="G14" s="101"/>
      <c r="H14" s="261"/>
      <c r="I14" s="259"/>
      <c r="J14" s="259"/>
      <c r="K14" s="101" t="s">
        <v>780</v>
      </c>
      <c r="L14" s="101">
        <v>-43751727.968099937</v>
      </c>
      <c r="M14" s="101">
        <v>-2377257518.5100002</v>
      </c>
      <c r="P14" s="255" t="s">
        <v>1379</v>
      </c>
      <c r="Q14" s="262">
        <v>-3025783.5336000007</v>
      </c>
      <c r="R14" s="262">
        <v>-164661137.16000003</v>
      </c>
      <c r="S14" s="98"/>
    </row>
    <row r="15" spans="1:19" s="419" customFormat="1" ht="22.5" customHeight="1">
      <c r="A15" s="123" t="s">
        <v>1474</v>
      </c>
      <c r="B15" s="123"/>
      <c r="E15" s="420"/>
      <c r="F15" s="393">
        <f>-Lead!Q209</f>
        <v>0</v>
      </c>
      <c r="G15" s="111"/>
      <c r="H15" s="421">
        <v>-5410968</v>
      </c>
      <c r="I15" s="118"/>
      <c r="J15" s="118"/>
      <c r="K15" s="111" t="s">
        <v>782</v>
      </c>
      <c r="L15" s="111">
        <v>-2370.7091999999998</v>
      </c>
      <c r="M15" s="111">
        <v>-127456</v>
      </c>
      <c r="P15" s="419" t="s">
        <v>1380</v>
      </c>
      <c r="Q15" s="422">
        <v>-1142549.4896</v>
      </c>
      <c r="R15" s="422">
        <v>-61952903.260000005</v>
      </c>
      <c r="S15" s="126"/>
    </row>
    <row r="16" spans="1:19" s="255" customFormat="1" ht="20.25" customHeight="1">
      <c r="A16" s="266"/>
      <c r="B16" s="134"/>
      <c r="C16" s="134"/>
      <c r="D16" s="252"/>
      <c r="E16" s="267"/>
      <c r="F16" s="142">
        <f>SUM(F10:F15)</f>
        <v>0</v>
      </c>
      <c r="G16" s="147"/>
      <c r="H16" s="141">
        <f>SUM(H10:H15)</f>
        <v>1374126</v>
      </c>
      <c r="I16" s="141"/>
      <c r="J16" s="141"/>
      <c r="K16" s="101" t="s">
        <v>781</v>
      </c>
      <c r="L16" s="101">
        <v>-1142549.4896</v>
      </c>
      <c r="M16" s="101">
        <v>-61952903.260000005</v>
      </c>
      <c r="P16" s="255" t="s">
        <v>1381</v>
      </c>
      <c r="Q16" s="98"/>
      <c r="R16" s="98"/>
      <c r="S16" s="98"/>
    </row>
    <row r="17" spans="1:19" s="252" customFormat="1">
      <c r="A17" s="268" t="s">
        <v>1459</v>
      </c>
      <c r="B17" s="134"/>
      <c r="C17" s="134"/>
      <c r="E17" s="267"/>
      <c r="F17" s="269"/>
      <c r="G17" s="147"/>
      <c r="H17" s="141"/>
      <c r="I17" s="141"/>
      <c r="J17" s="141"/>
      <c r="K17" s="101" t="s">
        <v>1376</v>
      </c>
      <c r="L17" s="101">
        <v>-5048.2554</v>
      </c>
      <c r="M17" s="101">
        <v>-272000</v>
      </c>
      <c r="P17" s="252" t="s">
        <v>1382</v>
      </c>
      <c r="Q17" s="240">
        <v>1035718.0297000004</v>
      </c>
      <c r="R17" s="240">
        <v>54927752.30999998</v>
      </c>
      <c r="S17" s="241"/>
    </row>
    <row r="18" spans="1:19" s="252" customFormat="1">
      <c r="A18" s="270" t="s">
        <v>785</v>
      </c>
      <c r="B18" s="271"/>
      <c r="C18" s="134"/>
      <c r="E18" s="267"/>
      <c r="F18" s="272"/>
      <c r="G18" s="147"/>
      <c r="H18" s="147"/>
      <c r="I18" s="147"/>
      <c r="J18" s="147"/>
      <c r="K18" s="101" t="s">
        <v>783</v>
      </c>
      <c r="L18" s="101">
        <v>-74592319.540700048</v>
      </c>
      <c r="M18" s="101">
        <v>-4097180118.4899993</v>
      </c>
    </row>
    <row r="19" spans="1:19" s="252" customFormat="1">
      <c r="A19" s="270"/>
      <c r="B19" s="134"/>
      <c r="C19" s="134"/>
      <c r="E19" s="267"/>
      <c r="F19" s="272"/>
      <c r="G19" s="147"/>
      <c r="H19" s="141"/>
      <c r="I19" s="141"/>
      <c r="J19" s="141"/>
      <c r="K19" s="101" t="s">
        <v>784</v>
      </c>
      <c r="L19" s="101">
        <v>-3025783.5336000007</v>
      </c>
      <c r="M19" s="101">
        <v>-164661137.16000003</v>
      </c>
    </row>
    <row r="20" spans="1:19" s="238" customFormat="1" ht="19.5" customHeight="1">
      <c r="A20" s="273"/>
      <c r="B20" s="274" t="s">
        <v>786</v>
      </c>
      <c r="C20" s="275"/>
      <c r="E20" s="276"/>
      <c r="F20" s="277" t="e">
        <f>-IS!#REF!</f>
        <v>#REF!</v>
      </c>
      <c r="G20" s="147"/>
      <c r="H20" s="278">
        <v>-38454</v>
      </c>
      <c r="I20" s="141"/>
      <c r="J20" s="141"/>
      <c r="K20" s="147"/>
      <c r="L20" s="153">
        <f>SUM(L14:L19)</f>
        <v>-122519799.4966</v>
      </c>
      <c r="M20" s="153">
        <f>SUM(M14:M19)</f>
        <v>-6701451133.4200001</v>
      </c>
    </row>
    <row r="21" spans="1:19" s="238" customFormat="1">
      <c r="A21" s="273"/>
      <c r="B21" s="274" t="s">
        <v>1495</v>
      </c>
      <c r="C21" s="279"/>
      <c r="E21" s="276"/>
      <c r="F21" s="280" t="e">
        <f>-IS!#REF!</f>
        <v>#REF!</v>
      </c>
      <c r="G21" s="147"/>
      <c r="H21" s="281">
        <v>171590</v>
      </c>
      <c r="I21" s="141"/>
      <c r="J21" s="141"/>
      <c r="K21" s="147"/>
      <c r="L21" s="147"/>
      <c r="M21" s="147"/>
    </row>
    <row r="22" spans="1:19" s="238" customFormat="1">
      <c r="A22" s="273"/>
      <c r="B22" s="274" t="s">
        <v>1496</v>
      </c>
      <c r="C22" s="279"/>
      <c r="E22" s="276"/>
      <c r="F22" s="280"/>
      <c r="G22" s="147"/>
      <c r="H22" s="281"/>
      <c r="I22" s="141"/>
      <c r="J22" s="141"/>
      <c r="K22" s="147"/>
      <c r="L22" s="147"/>
      <c r="M22" s="147"/>
    </row>
    <row r="23" spans="1:19" s="238" customFormat="1" ht="8.25" customHeight="1">
      <c r="A23" s="282"/>
      <c r="B23" s="283"/>
      <c r="C23" s="112"/>
      <c r="E23" s="276"/>
      <c r="F23" s="280"/>
      <c r="G23" s="147"/>
      <c r="H23" s="281"/>
      <c r="I23" s="141"/>
      <c r="J23" s="141"/>
      <c r="K23" s="147"/>
      <c r="L23" s="147"/>
      <c r="M23" s="147"/>
    </row>
    <row r="24" spans="1:19" s="238" customFormat="1">
      <c r="A24" s="284"/>
      <c r="B24" s="285" t="s">
        <v>1460</v>
      </c>
      <c r="E24" s="276"/>
      <c r="F24" s="280"/>
      <c r="G24" s="147"/>
      <c r="H24" s="281"/>
      <c r="I24" s="141"/>
      <c r="J24" s="141"/>
      <c r="K24" s="147"/>
      <c r="L24" s="147"/>
      <c r="M24" s="147"/>
    </row>
    <row r="25" spans="1:19" s="238" customFormat="1" ht="20.25" customHeight="1">
      <c r="A25" s="282"/>
      <c r="B25" s="286"/>
      <c r="C25" s="149" t="s">
        <v>787</v>
      </c>
      <c r="E25" s="276"/>
      <c r="F25" s="423">
        <f>-DS!F17</f>
        <v>0</v>
      </c>
      <c r="G25" s="424"/>
      <c r="H25" s="425">
        <v>-104865</v>
      </c>
      <c r="I25" s="141"/>
      <c r="J25" s="141"/>
      <c r="K25" s="147"/>
      <c r="L25" s="147"/>
      <c r="M25" s="147"/>
    </row>
    <row r="26" spans="1:19" s="238" customFormat="1" ht="19.5" customHeight="1">
      <c r="A26" s="137"/>
      <c r="B26" s="112"/>
      <c r="C26" s="112"/>
      <c r="E26" s="276"/>
      <c r="F26" s="142" t="e">
        <f>SUM(F20:F25)</f>
        <v>#REF!</v>
      </c>
      <c r="G26" s="147"/>
      <c r="H26" s="141">
        <f>SUM(H20:H25)</f>
        <v>28271</v>
      </c>
      <c r="I26" s="141"/>
      <c r="J26" s="141"/>
      <c r="K26" s="147"/>
      <c r="L26" s="147"/>
      <c r="M26" s="147"/>
    </row>
    <row r="27" spans="1:19" s="238" customFormat="1" ht="10.5" customHeight="1">
      <c r="A27" s="137"/>
      <c r="B27" s="112"/>
      <c r="C27" s="112"/>
      <c r="E27" s="276"/>
      <c r="F27" s="142"/>
      <c r="G27" s="147"/>
      <c r="H27" s="141"/>
      <c r="I27" s="141"/>
      <c r="J27" s="141"/>
      <c r="K27" s="147"/>
      <c r="L27" s="147"/>
      <c r="M27" s="147"/>
    </row>
    <row r="28" spans="1:19" s="238" customFormat="1">
      <c r="A28" s="128" t="s">
        <v>788</v>
      </c>
      <c r="B28" s="112"/>
      <c r="C28" s="112"/>
      <c r="E28" s="276"/>
      <c r="F28" s="142"/>
      <c r="G28" s="147"/>
      <c r="H28" s="141"/>
      <c r="I28" s="141"/>
      <c r="J28" s="141"/>
      <c r="K28" s="147"/>
      <c r="L28" s="147"/>
      <c r="M28" s="147"/>
    </row>
    <row r="29" spans="1:19" s="238" customFormat="1">
      <c r="A29" s="137"/>
      <c r="B29" s="112"/>
      <c r="C29" s="112"/>
      <c r="E29" s="276"/>
      <c r="F29" s="142"/>
      <c r="G29" s="147"/>
      <c r="H29" s="141"/>
      <c r="I29" s="141"/>
      <c r="J29" s="141"/>
      <c r="K29" s="147"/>
      <c r="L29" s="147"/>
      <c r="M29" s="147"/>
    </row>
    <row r="30" spans="1:19" s="238" customFormat="1" ht="19.5" customHeight="1">
      <c r="A30" s="128" t="s">
        <v>1457</v>
      </c>
      <c r="B30" s="112"/>
      <c r="C30" s="112"/>
      <c r="E30" s="276"/>
      <c r="F30" s="277" t="e">
        <f>IS!#REF!</f>
        <v>#REF!</v>
      </c>
      <c r="G30" s="144"/>
      <c r="H30" s="278">
        <v>-13413</v>
      </c>
      <c r="I30" s="141"/>
      <c r="J30" s="141"/>
      <c r="K30" s="147"/>
      <c r="L30" s="147"/>
      <c r="M30" s="147"/>
    </row>
    <row r="31" spans="1:19" s="238" customFormat="1" ht="9.75" customHeight="1">
      <c r="A31" s="128"/>
      <c r="B31" s="112"/>
      <c r="C31" s="112"/>
      <c r="E31" s="276"/>
      <c r="F31" s="280"/>
      <c r="G31" s="144"/>
      <c r="H31" s="281"/>
      <c r="I31" s="141"/>
      <c r="J31" s="141"/>
      <c r="K31" s="147"/>
      <c r="L31" s="147"/>
      <c r="M31" s="147"/>
    </row>
    <row r="32" spans="1:19" s="243" customFormat="1">
      <c r="A32" s="128" t="s">
        <v>712</v>
      </c>
      <c r="B32" s="135"/>
      <c r="C32" s="135"/>
      <c r="E32" s="287"/>
      <c r="F32" s="288"/>
      <c r="G32" s="144"/>
      <c r="H32" s="288"/>
      <c r="I32" s="144"/>
      <c r="J32" s="144"/>
      <c r="K32" s="144"/>
      <c r="L32" s="144"/>
      <c r="M32" s="144"/>
    </row>
    <row r="33" spans="1:13" s="243" customFormat="1">
      <c r="A33" s="138" t="s">
        <v>713</v>
      </c>
      <c r="B33" s="135"/>
      <c r="C33" s="135"/>
      <c r="E33" s="287"/>
      <c r="F33" s="280" t="e">
        <f>IS!#REF!</f>
        <v>#REF!</v>
      </c>
      <c r="G33" s="144"/>
      <c r="H33" s="281">
        <v>1288</v>
      </c>
      <c r="I33" s="141"/>
      <c r="J33" s="141"/>
      <c r="K33" s="144"/>
      <c r="L33" s="144"/>
      <c r="M33" s="144"/>
    </row>
    <row r="34" spans="1:13" s="290" customFormat="1">
      <c r="A34" s="289" t="s">
        <v>789</v>
      </c>
      <c r="B34" s="135"/>
      <c r="C34" s="135"/>
      <c r="D34" s="243"/>
      <c r="E34" s="287"/>
      <c r="F34" s="280" t="e">
        <f>IS!#REF!-UHF!F33-UHF!F30</f>
        <v>#REF!</v>
      </c>
      <c r="G34" s="144"/>
      <c r="H34" s="281">
        <v>92179</v>
      </c>
      <c r="I34" s="141"/>
      <c r="J34" s="141"/>
      <c r="K34" s="203"/>
      <c r="L34" s="203"/>
      <c r="M34" s="203"/>
    </row>
    <row r="35" spans="1:13" s="290" customFormat="1" ht="8.25" customHeight="1">
      <c r="A35" s="289"/>
      <c r="B35" s="135"/>
      <c r="C35" s="135"/>
      <c r="D35" s="243"/>
      <c r="E35" s="287"/>
      <c r="F35" s="280"/>
      <c r="G35" s="144"/>
      <c r="H35" s="281"/>
      <c r="I35" s="141"/>
      <c r="J35" s="141"/>
      <c r="K35" s="203"/>
      <c r="L35" s="203"/>
      <c r="M35" s="203"/>
    </row>
    <row r="36" spans="1:13" s="243" customFormat="1">
      <c r="A36" s="291" t="s">
        <v>1461</v>
      </c>
      <c r="B36" s="135"/>
      <c r="C36" s="135"/>
      <c r="E36" s="287"/>
      <c r="F36" s="280"/>
      <c r="G36" s="144"/>
      <c r="H36" s="281"/>
      <c r="I36" s="141"/>
      <c r="J36" s="141"/>
      <c r="K36" s="144"/>
      <c r="L36" s="144"/>
      <c r="M36" s="144"/>
    </row>
    <row r="37" spans="1:13" s="243" customFormat="1" ht="21" customHeight="1">
      <c r="A37" s="426" t="s">
        <v>1458</v>
      </c>
      <c r="B37" s="135"/>
      <c r="C37" s="135"/>
      <c r="E37" s="287"/>
      <c r="F37" s="423">
        <f>-F25</f>
        <v>0</v>
      </c>
      <c r="G37" s="427"/>
      <c r="H37" s="425">
        <v>104865</v>
      </c>
      <c r="I37" s="141"/>
      <c r="J37" s="141"/>
      <c r="K37" s="144"/>
      <c r="L37" s="144"/>
      <c r="M37" s="144"/>
    </row>
    <row r="38" spans="1:13" s="290" customFormat="1" ht="18.75" customHeight="1">
      <c r="A38" s="292"/>
      <c r="B38" s="135"/>
      <c r="C38" s="135"/>
      <c r="D38" s="243"/>
      <c r="E38" s="287"/>
      <c r="F38" s="142" t="e">
        <f>SUM(F30:F37)</f>
        <v>#REF!</v>
      </c>
      <c r="G38" s="144"/>
      <c r="H38" s="141">
        <f>SUM(H30:H37)</f>
        <v>184919</v>
      </c>
      <c r="I38" s="141"/>
      <c r="J38" s="141"/>
      <c r="K38" s="203"/>
      <c r="L38" s="203"/>
      <c r="M38" s="203"/>
    </row>
    <row r="39" spans="1:13" s="243" customFormat="1" ht="9" customHeight="1">
      <c r="A39" s="292"/>
      <c r="B39" s="135"/>
      <c r="E39" s="287"/>
      <c r="F39" s="142"/>
      <c r="G39" s="144"/>
      <c r="H39" s="141"/>
      <c r="I39" s="141"/>
      <c r="J39" s="141"/>
      <c r="K39" s="144"/>
      <c r="L39" s="144"/>
      <c r="M39" s="144"/>
    </row>
    <row r="40" spans="1:13" s="290" customFormat="1">
      <c r="A40" s="243" t="s">
        <v>790</v>
      </c>
      <c r="B40" s="293"/>
      <c r="C40" s="135"/>
      <c r="D40" s="243"/>
      <c r="E40" s="294"/>
      <c r="F40" s="142">
        <f>DS!F30</f>
        <v>-63768</v>
      </c>
      <c r="G40" s="144"/>
      <c r="H40" s="141">
        <f>DS!H30</f>
        <v>-101532</v>
      </c>
      <c r="I40" s="141"/>
      <c r="J40" s="141"/>
      <c r="K40" s="203"/>
      <c r="L40" s="203"/>
      <c r="M40" s="203"/>
    </row>
    <row r="41" spans="1:13" s="238" customFormat="1" ht="7.5" customHeight="1">
      <c r="A41" s="112"/>
      <c r="B41" s="112"/>
      <c r="C41" s="112"/>
      <c r="D41" s="115"/>
      <c r="E41" s="276"/>
      <c r="F41" s="142"/>
      <c r="G41" s="147"/>
      <c r="H41" s="141"/>
      <c r="I41" s="141"/>
      <c r="J41" s="141"/>
      <c r="K41" s="147"/>
      <c r="L41" s="147"/>
      <c r="M41" s="147"/>
    </row>
    <row r="42" spans="1:13" s="238" customFormat="1">
      <c r="A42" s="289" t="s">
        <v>791</v>
      </c>
      <c r="B42" s="135"/>
      <c r="F42" s="142"/>
      <c r="G42" s="147"/>
      <c r="H42" s="141"/>
      <c r="I42" s="141"/>
      <c r="J42" s="141"/>
      <c r="K42" s="147"/>
      <c r="L42" s="147"/>
      <c r="M42" s="147"/>
    </row>
    <row r="43" spans="1:13" s="238" customFormat="1">
      <c r="A43" s="295" t="s">
        <v>792</v>
      </c>
      <c r="B43" s="135"/>
      <c r="F43" s="142" t="e">
        <f>OCI!#REF!</f>
        <v>#REF!</v>
      </c>
      <c r="G43" s="147"/>
      <c r="H43" s="141">
        <v>8060</v>
      </c>
      <c r="I43" s="141"/>
      <c r="J43" s="141"/>
      <c r="K43" s="147"/>
      <c r="L43" s="147"/>
      <c r="M43" s="147"/>
    </row>
    <row r="44" spans="1:13" s="238" customFormat="1" ht="1.5" customHeight="1">
      <c r="A44" s="112"/>
      <c r="F44" s="142"/>
      <c r="G44" s="147"/>
      <c r="H44" s="141"/>
      <c r="I44" s="141"/>
      <c r="J44" s="141"/>
      <c r="K44" s="147"/>
      <c r="L44" s="147"/>
      <c r="M44" s="147"/>
    </row>
    <row r="45" spans="1:13" s="238" customFormat="1" ht="8.25" customHeight="1">
      <c r="A45" s="112"/>
      <c r="F45" s="142"/>
      <c r="G45" s="147"/>
      <c r="H45" s="141"/>
      <c r="I45" s="141"/>
      <c r="J45" s="141"/>
      <c r="K45" s="147" t="s">
        <v>793</v>
      </c>
      <c r="L45" s="147"/>
      <c r="M45" s="147"/>
    </row>
    <row r="46" spans="1:13" s="429" customFormat="1" ht="21" customHeight="1" thickBot="1">
      <c r="A46" s="428" t="s">
        <v>794</v>
      </c>
      <c r="F46" s="395" t="e">
        <f>+F43+F40+F38+F26+F8+F16</f>
        <v>#REF!</v>
      </c>
      <c r="G46" s="396"/>
      <c r="H46" s="395">
        <f>+H43+H40+H38+H26+H8+H16</f>
        <v>2462552</v>
      </c>
      <c r="I46" s="430"/>
      <c r="J46" s="430"/>
      <c r="K46" s="431">
        <f>BS!F30</f>
        <v>931657</v>
      </c>
      <c r="L46" s="431" t="e">
        <f>K46-F46</f>
        <v>#REF!</v>
      </c>
      <c r="M46" s="396"/>
    </row>
    <row r="47" spans="1:13" s="238" customFormat="1" ht="13.5" thickTop="1">
      <c r="A47" s="297"/>
      <c r="F47" s="147"/>
      <c r="G47" s="147"/>
      <c r="H47" s="147"/>
      <c r="I47" s="147"/>
      <c r="J47" s="147"/>
      <c r="K47" s="147"/>
      <c r="L47" s="147"/>
      <c r="M47" s="147"/>
    </row>
    <row r="48" spans="1:13" s="238" customFormat="1">
      <c r="A48" s="297"/>
      <c r="F48" s="2892" t="s">
        <v>699</v>
      </c>
      <c r="G48" s="2892"/>
      <c r="H48" s="2892"/>
      <c r="I48" s="465"/>
      <c r="J48" s="465"/>
      <c r="K48" s="147"/>
      <c r="L48" s="147"/>
      <c r="M48" s="147"/>
    </row>
    <row r="49" spans="1:13" s="238" customFormat="1">
      <c r="A49" s="297"/>
      <c r="F49" s="147"/>
      <c r="G49" s="147"/>
      <c r="H49" s="147"/>
      <c r="I49" s="147"/>
      <c r="J49" s="147"/>
      <c r="K49" s="147"/>
      <c r="L49" s="147"/>
      <c r="M49" s="147"/>
    </row>
    <row r="50" spans="1:13" s="238" customFormat="1" ht="14.25" customHeight="1" thickBot="1">
      <c r="A50" s="296" t="s">
        <v>700</v>
      </c>
      <c r="F50" s="298">
        <f>BS!F38</f>
        <v>16759933.892700002</v>
      </c>
      <c r="G50" s="144"/>
      <c r="H50" s="299">
        <v>46324787.451399997</v>
      </c>
      <c r="I50" s="144"/>
      <c r="J50" s="144"/>
      <c r="K50" s="147"/>
      <c r="L50" s="147"/>
      <c r="M50" s="147"/>
    </row>
    <row r="51" spans="1:13" s="238" customFormat="1" ht="13.5" thickTop="1">
      <c r="A51" s="296"/>
      <c r="F51" s="146"/>
      <c r="G51" s="147"/>
      <c r="H51" s="144"/>
      <c r="I51" s="144"/>
      <c r="J51" s="144"/>
      <c r="K51" s="147"/>
      <c r="L51" s="147"/>
      <c r="M51" s="147"/>
    </row>
    <row r="52" spans="1:13" s="238" customFormat="1">
      <c r="A52" s="296"/>
      <c r="F52" s="2892" t="s">
        <v>701</v>
      </c>
      <c r="G52" s="2892"/>
      <c r="H52" s="2892"/>
      <c r="I52" s="465"/>
      <c r="J52" s="465"/>
      <c r="K52" s="147"/>
      <c r="L52" s="147"/>
      <c r="M52" s="147"/>
    </row>
    <row r="53" spans="1:13" s="238" customFormat="1" ht="8.25" customHeight="1">
      <c r="A53" s="296"/>
      <c r="F53" s="146"/>
      <c r="G53" s="147"/>
      <c r="H53" s="144"/>
      <c r="I53" s="144"/>
      <c r="J53" s="144"/>
      <c r="K53" s="147"/>
      <c r="L53" s="147"/>
      <c r="M53" s="147"/>
    </row>
    <row r="54" spans="1:13" s="238" customFormat="1" ht="13.5" thickBot="1">
      <c r="A54" s="296" t="s">
        <v>702</v>
      </c>
      <c r="F54" s="474">
        <f>BS!F43</f>
        <v>55.588345751518439</v>
      </c>
      <c r="G54" s="475"/>
      <c r="H54" s="474">
        <f>BS!H43</f>
        <v>53.901499999999999</v>
      </c>
      <c r="I54" s="300"/>
      <c r="J54" s="300"/>
      <c r="K54" s="147"/>
      <c r="L54" s="147"/>
      <c r="M54" s="147"/>
    </row>
    <row r="55" spans="1:13" s="238" customFormat="1" ht="13.5" thickTop="1">
      <c r="A55" s="297"/>
      <c r="F55" s="301"/>
      <c r="K55" s="147"/>
      <c r="L55" s="147"/>
      <c r="M55" s="147"/>
    </row>
    <row r="56" spans="1:13" s="238" customFormat="1">
      <c r="A56" s="297"/>
      <c r="F56" s="301"/>
      <c r="K56" s="147"/>
      <c r="L56" s="147"/>
      <c r="M56" s="147"/>
    </row>
    <row r="57" spans="1:13" s="112" customFormat="1">
      <c r="A57" s="112" t="str">
        <f>DS!A42</f>
        <v>The annexed notes from 1 to 19 form an integral part of these condensed interim financial statements.</v>
      </c>
      <c r="E57" s="302"/>
      <c r="F57" s="303"/>
      <c r="K57" s="147"/>
      <c r="L57" s="147"/>
      <c r="M57" s="147"/>
    </row>
    <row r="58" spans="1:13" s="464" customFormat="1">
      <c r="A58" s="304"/>
      <c r="B58" s="155"/>
      <c r="C58" s="155"/>
      <c r="D58" s="155"/>
      <c r="E58" s="305"/>
      <c r="F58" s="306"/>
      <c r="G58" s="155"/>
      <c r="H58" s="155"/>
      <c r="I58" s="155"/>
      <c r="J58" s="155"/>
      <c r="K58" s="140"/>
      <c r="L58" s="140"/>
      <c r="M58" s="140"/>
    </row>
    <row r="59" spans="1:13" s="464" customFormat="1">
      <c r="A59" s="2893" t="s">
        <v>703</v>
      </c>
      <c r="B59" s="2893"/>
      <c r="C59" s="2893"/>
      <c r="D59" s="2893"/>
      <c r="E59" s="2893"/>
      <c r="F59" s="2893"/>
      <c r="G59" s="2893"/>
      <c r="H59" s="2893"/>
      <c r="I59" s="463"/>
      <c r="J59" s="463"/>
      <c r="K59" s="140"/>
      <c r="L59" s="140"/>
      <c r="M59" s="140"/>
    </row>
    <row r="60" spans="1:13" s="112" customFormat="1">
      <c r="A60" s="2889" t="s">
        <v>704</v>
      </c>
      <c r="B60" s="2889"/>
      <c r="C60" s="2889"/>
      <c r="D60" s="2889"/>
      <c r="E60" s="2889"/>
      <c r="F60" s="2889"/>
      <c r="G60" s="2889"/>
      <c r="H60" s="2889"/>
      <c r="I60" s="470"/>
      <c r="J60" s="470"/>
      <c r="K60" s="147"/>
      <c r="L60" s="147"/>
      <c r="M60" s="147"/>
    </row>
    <row r="61" spans="1:13" s="112" customFormat="1">
      <c r="A61" s="470"/>
      <c r="B61" s="470"/>
      <c r="C61" s="470"/>
      <c r="D61" s="470"/>
      <c r="E61" s="470"/>
      <c r="F61" s="307"/>
      <c r="G61" s="470"/>
      <c r="H61" s="470"/>
      <c r="I61" s="470"/>
      <c r="J61" s="470"/>
      <c r="K61" s="147"/>
      <c r="L61" s="147"/>
      <c r="M61" s="147"/>
    </row>
    <row r="62" spans="1:13" s="112" customFormat="1">
      <c r="A62" s="470"/>
      <c r="B62" s="470"/>
      <c r="C62" s="470"/>
      <c r="D62" s="470"/>
      <c r="E62" s="470"/>
      <c r="F62" s="307"/>
      <c r="G62" s="470"/>
      <c r="H62" s="470"/>
      <c r="I62" s="470"/>
      <c r="J62" s="470"/>
      <c r="K62" s="147"/>
      <c r="L62" s="147"/>
      <c r="M62" s="147"/>
    </row>
    <row r="63" spans="1:13" s="112" customFormat="1">
      <c r="A63" s="229"/>
      <c r="B63" s="229"/>
      <c r="C63" s="229"/>
      <c r="D63" s="229"/>
      <c r="E63" s="308"/>
      <c r="F63" s="309"/>
      <c r="G63" s="229"/>
      <c r="H63" s="229"/>
      <c r="I63" s="229"/>
      <c r="J63" s="229"/>
      <c r="K63" s="147"/>
      <c r="L63" s="147"/>
      <c r="M63" s="147"/>
    </row>
    <row r="64" spans="1:13" s="112" customFormat="1">
      <c r="A64" s="2880" t="s">
        <v>1467</v>
      </c>
      <c r="B64" s="2880"/>
      <c r="C64" s="2880"/>
      <c r="D64" s="2880"/>
      <c r="E64" s="2880"/>
      <c r="F64" s="2880"/>
      <c r="G64" s="2880"/>
      <c r="H64" s="2880"/>
      <c r="I64" s="229"/>
      <c r="J64" s="229"/>
      <c r="K64" s="147"/>
      <c r="L64" s="147"/>
      <c r="M64" s="147"/>
    </row>
    <row r="65" spans="1:6">
      <c r="A65" s="310"/>
      <c r="B65" s="310"/>
      <c r="C65" s="310"/>
      <c r="D65" s="310"/>
      <c r="E65" s="310"/>
      <c r="F65" s="311"/>
    </row>
    <row r="66" spans="1:6">
      <c r="A66" s="310"/>
      <c r="B66" s="310"/>
      <c r="C66" s="310"/>
      <c r="D66" s="310"/>
      <c r="E66" s="310"/>
      <c r="F66" s="311"/>
    </row>
    <row r="67" spans="1:6">
      <c r="A67" s="312" t="s">
        <v>795</v>
      </c>
    </row>
  </sheetData>
  <mergeCells count="7">
    <mergeCell ref="A64:H64"/>
    <mergeCell ref="A60:H60"/>
    <mergeCell ref="F6:H6"/>
    <mergeCell ref="B11:C13"/>
    <mergeCell ref="F48:H48"/>
    <mergeCell ref="F52:H52"/>
    <mergeCell ref="A59:H59"/>
  </mergeCells>
  <pageMargins left="0.68" right="0.41" top="0.48" bottom="0.25" header="0.33" footer="0.17"/>
  <pageSetup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S99"/>
  <sheetViews>
    <sheetView showGridLines="0" view="pageBreakPreview" topLeftCell="A56" zoomScaleNormal="100" zoomScaleSheetLayoutView="100" workbookViewId="0">
      <selection activeCell="AS99" sqref="AS99"/>
    </sheetView>
  </sheetViews>
  <sheetFormatPr defaultColWidth="9" defaultRowHeight="12.75"/>
  <cols>
    <col min="1" max="1" width="3.75" style="95" customWidth="1"/>
    <col min="2" max="2" width="5.75" style="95" customWidth="1"/>
    <col min="3" max="3" width="4" style="95" customWidth="1"/>
    <col min="4" max="4" width="53" style="95" customWidth="1"/>
    <col min="5" max="5" width="1.875" style="95" customWidth="1"/>
    <col min="6" max="6" width="6.375" style="172" customWidth="1"/>
    <col min="7" max="7" width="13" style="121" customWidth="1"/>
    <col min="8" max="8" width="1" style="95" customWidth="1"/>
    <col min="9" max="9" width="13" style="122" customWidth="1"/>
    <col min="10" max="10" width="18" style="122" customWidth="1"/>
    <col min="11" max="11" width="15" style="101" customWidth="1"/>
    <col min="12" max="12" width="18" style="122" customWidth="1"/>
    <col min="13" max="13" width="13.375" style="122" customWidth="1"/>
    <col min="14" max="14" width="20.5" style="122" customWidth="1"/>
    <col min="15" max="15" width="12.375" style="95" customWidth="1"/>
    <col min="16" max="16" width="13.5" style="95" customWidth="1"/>
    <col min="17" max="17" width="13.625" style="95" customWidth="1"/>
    <col min="18" max="18" width="13.5" style="95" customWidth="1"/>
    <col min="19" max="19" width="16.5" style="95" customWidth="1"/>
    <col min="20" max="21" width="9" style="95"/>
    <col min="22" max="22" width="11.875" style="95" customWidth="1"/>
    <col min="23" max="23" width="12.25" style="95" customWidth="1"/>
    <col min="24" max="24" width="9" style="95"/>
    <col min="25" max="25" width="11.25" style="95" customWidth="1"/>
    <col min="26" max="27" width="9" style="95"/>
    <col min="28" max="28" width="9.25" style="95" customWidth="1"/>
    <col min="29" max="29" width="9" style="95"/>
    <col min="30" max="30" width="9.25" style="95" customWidth="1"/>
    <col min="31" max="32" width="9" style="95"/>
    <col min="33" max="33" width="9.625" style="95" customWidth="1"/>
    <col min="34" max="34" width="9" style="95"/>
    <col min="35" max="35" width="9.625" style="95" customWidth="1"/>
    <col min="36" max="37" width="9" style="95"/>
    <col min="38" max="38" width="9.5" style="95" customWidth="1"/>
    <col min="39" max="39" width="9" style="95"/>
    <col min="40" max="40" width="9.5" style="95" customWidth="1"/>
    <col min="41" max="42" width="9" style="95"/>
    <col min="43" max="43" width="9.5" style="95" customWidth="1"/>
    <col min="44" max="44" width="9" style="95"/>
    <col min="45" max="45" width="9.5" style="95" customWidth="1"/>
    <col min="46" max="16384" width="9" style="95"/>
  </cols>
  <sheetData>
    <row r="1" spans="1:45" s="112" customFormat="1" ht="13.5" thickTop="1">
      <c r="A1" s="104" t="s">
        <v>671</v>
      </c>
      <c r="C1" s="104"/>
      <c r="D1" s="104"/>
      <c r="E1" s="104"/>
      <c r="F1" s="110"/>
      <c r="G1" s="154"/>
      <c r="H1" s="104"/>
      <c r="I1" s="99"/>
      <c r="J1" s="155"/>
      <c r="N1" s="155"/>
      <c r="V1" s="486"/>
      <c r="W1" s="487"/>
      <c r="X1" s="487"/>
      <c r="Y1" s="487"/>
      <c r="Z1" s="487"/>
      <c r="AA1" s="487"/>
      <c r="AB1" s="487"/>
      <c r="AC1" s="487"/>
      <c r="AD1" s="487"/>
      <c r="AE1" s="487"/>
      <c r="AF1" s="487"/>
      <c r="AG1" s="487"/>
      <c r="AH1" s="487"/>
      <c r="AI1" s="487"/>
      <c r="AJ1" s="487"/>
      <c r="AK1" s="487"/>
      <c r="AL1" s="487"/>
      <c r="AM1" s="487"/>
      <c r="AN1" s="487"/>
      <c r="AO1" s="487"/>
      <c r="AP1" s="487"/>
      <c r="AQ1" s="487"/>
      <c r="AR1" s="487"/>
      <c r="AS1" s="488"/>
    </row>
    <row r="2" spans="1:45" s="112" customFormat="1" ht="12.75" customHeight="1" thickBot="1">
      <c r="A2" s="104" t="s">
        <v>796</v>
      </c>
      <c r="C2" s="104"/>
      <c r="D2" s="104"/>
      <c r="E2" s="104"/>
      <c r="F2" s="110"/>
      <c r="G2" s="154"/>
      <c r="H2" s="104"/>
      <c r="I2" s="99"/>
      <c r="J2" s="2898" t="s">
        <v>686</v>
      </c>
      <c r="K2" s="2899"/>
      <c r="L2" s="2899"/>
      <c r="M2" s="2900"/>
      <c r="N2" s="155"/>
      <c r="O2" s="2901" t="s">
        <v>797</v>
      </c>
      <c r="P2" s="2902"/>
      <c r="Q2" s="2902"/>
      <c r="R2" s="2903"/>
      <c r="V2" s="2912" t="s">
        <v>1620</v>
      </c>
      <c r="W2" s="2911"/>
      <c r="X2" s="2911"/>
      <c r="Y2" s="2911"/>
      <c r="Z2" s="135"/>
      <c r="AA2" s="2911" t="s">
        <v>1623</v>
      </c>
      <c r="AB2" s="2911"/>
      <c r="AC2" s="2911"/>
      <c r="AD2" s="2911"/>
      <c r="AE2" s="135"/>
      <c r="AF2" s="2894" t="s">
        <v>1398</v>
      </c>
      <c r="AG2" s="2894"/>
      <c r="AH2" s="2894"/>
      <c r="AI2" s="2894"/>
      <c r="AJ2" s="135"/>
      <c r="AK2" s="2894" t="s">
        <v>1624</v>
      </c>
      <c r="AL2" s="2894"/>
      <c r="AM2" s="2894"/>
      <c r="AN2" s="2894"/>
      <c r="AO2" s="135"/>
      <c r="AP2" s="2894" t="s">
        <v>1625</v>
      </c>
      <c r="AQ2" s="2894"/>
      <c r="AR2" s="2894"/>
      <c r="AS2" s="2895"/>
    </row>
    <row r="3" spans="1:45" s="112" customFormat="1">
      <c r="A3" s="104" t="s">
        <v>1590</v>
      </c>
      <c r="C3" s="104"/>
      <c r="D3" s="104"/>
      <c r="E3" s="104"/>
      <c r="F3" s="110"/>
      <c r="G3" s="154"/>
      <c r="H3" s="104"/>
      <c r="I3" s="99"/>
      <c r="J3" s="156" t="s">
        <v>798</v>
      </c>
      <c r="K3" s="157">
        <f>BS!H12</f>
        <v>475217</v>
      </c>
      <c r="L3" s="158"/>
      <c r="M3" s="159"/>
      <c r="N3" s="155"/>
      <c r="O3" s="158"/>
      <c r="P3" s="160"/>
      <c r="Q3" s="161" t="s">
        <v>798</v>
      </c>
      <c r="R3" s="162">
        <f>UHF!F8</f>
        <v>2462552</v>
      </c>
      <c r="S3" s="134"/>
      <c r="V3" s="489" t="s">
        <v>798</v>
      </c>
      <c r="W3" s="480">
        <f>'5.3.1'!I55</f>
        <v>811</v>
      </c>
      <c r="X3" s="266"/>
      <c r="Y3" s="266"/>
      <c r="Z3" s="266"/>
      <c r="AA3" s="266" t="s">
        <v>798</v>
      </c>
      <c r="AB3" s="480">
        <f>'5.1'!K34</f>
        <v>74795</v>
      </c>
      <c r="AC3" s="266"/>
      <c r="AD3" s="266"/>
      <c r="AE3" s="135"/>
      <c r="AF3" s="266" t="s">
        <v>798</v>
      </c>
      <c r="AG3" s="480">
        <f>'5.2.1'!$I$22+'5.3.1'!$I$34</f>
        <v>156233</v>
      </c>
      <c r="AH3" s="266"/>
      <c r="AI3" s="266"/>
      <c r="AJ3" s="135"/>
      <c r="AK3" s="266" t="s">
        <v>798</v>
      </c>
      <c r="AL3" s="480">
        <f>'1-4.1'!I978</f>
        <v>0</v>
      </c>
      <c r="AM3" s="266"/>
      <c r="AN3" s="266"/>
      <c r="AO3" s="135"/>
      <c r="AP3" s="266" t="s">
        <v>798</v>
      </c>
      <c r="AQ3" s="480">
        <f>'1-4.1'!I979</f>
        <v>0</v>
      </c>
      <c r="AR3" s="266"/>
      <c r="AS3" s="490"/>
    </row>
    <row r="4" spans="1:45" s="112" customFormat="1">
      <c r="B4" s="95"/>
      <c r="C4" s="95"/>
      <c r="D4" s="95"/>
      <c r="E4" s="108"/>
      <c r="F4" s="95"/>
      <c r="G4" s="163"/>
      <c r="H4" s="164"/>
      <c r="I4" s="165"/>
      <c r="J4" s="166"/>
      <c r="K4" s="167"/>
      <c r="L4" s="168"/>
      <c r="M4" s="169"/>
      <c r="O4" s="168"/>
      <c r="P4" s="144"/>
      <c r="Q4" s="170" t="s">
        <v>799</v>
      </c>
      <c r="R4" s="171">
        <f>BS!H26</f>
        <v>2079</v>
      </c>
      <c r="S4" s="134"/>
      <c r="V4" s="489"/>
      <c r="W4" s="481"/>
      <c r="X4" s="266" t="s">
        <v>1619</v>
      </c>
      <c r="Y4" s="266">
        <f>-Lead!O202</f>
        <v>3027</v>
      </c>
      <c r="Z4" s="266"/>
      <c r="AA4" s="266"/>
      <c r="AB4" s="481"/>
      <c r="AC4" s="266" t="s">
        <v>1619</v>
      </c>
      <c r="AD4" s="266">
        <f>Lead!K288+Lead!K289</f>
        <v>0</v>
      </c>
      <c r="AE4" s="135"/>
      <c r="AF4" s="266"/>
      <c r="AG4" s="481"/>
      <c r="AH4" s="266" t="s">
        <v>1619</v>
      </c>
      <c r="AI4" s="266">
        <f>Lead!K287</f>
        <v>0</v>
      </c>
      <c r="AJ4" s="135"/>
      <c r="AK4" s="266"/>
      <c r="AL4" s="481"/>
      <c r="AM4" s="266" t="s">
        <v>1619</v>
      </c>
      <c r="AN4" s="266">
        <f>Lead!P287</f>
        <v>0</v>
      </c>
      <c r="AO4" s="135"/>
      <c r="AP4" s="266"/>
      <c r="AQ4" s="481"/>
      <c r="AR4" s="266" t="s">
        <v>1626</v>
      </c>
      <c r="AS4" s="490">
        <f>Lead!U287</f>
        <v>0</v>
      </c>
    </row>
    <row r="5" spans="1:45" s="112" customFormat="1">
      <c r="B5" s="95"/>
      <c r="C5" s="95"/>
      <c r="D5" s="95"/>
      <c r="E5" s="108"/>
      <c r="F5" s="172"/>
      <c r="G5" s="173">
        <v>2018</v>
      </c>
      <c r="H5" s="174"/>
      <c r="I5" s="175">
        <v>2017</v>
      </c>
      <c r="J5" s="176" t="s">
        <v>800</v>
      </c>
      <c r="K5" s="144" t="e">
        <f>+K17-K3-K9-K10-K8</f>
        <v>#REF!</v>
      </c>
      <c r="L5" s="168"/>
      <c r="M5" s="169"/>
      <c r="O5" s="168" t="s">
        <v>753</v>
      </c>
      <c r="P5" s="144">
        <f>-DS!F28</f>
        <v>63768</v>
      </c>
      <c r="Q5" s="170"/>
      <c r="R5" s="171"/>
      <c r="S5" s="134"/>
      <c r="V5" s="489" t="s">
        <v>1621</v>
      </c>
      <c r="W5" s="481">
        <f>W7-Y7</f>
        <v>-2216</v>
      </c>
      <c r="X5" s="266"/>
      <c r="Y5" s="266"/>
      <c r="Z5" s="266"/>
      <c r="AA5" s="266" t="s">
        <v>1621</v>
      </c>
      <c r="AB5" s="481">
        <f>AB7-AD7</f>
        <v>39936.504999999997</v>
      </c>
      <c r="AC5" s="266"/>
      <c r="AD5" s="266"/>
      <c r="AE5" s="135"/>
      <c r="AF5" s="266" t="s">
        <v>1621</v>
      </c>
      <c r="AG5" s="481">
        <f>AG7-AI7</f>
        <v>733.49300000001676</v>
      </c>
      <c r="AH5" s="266"/>
      <c r="AI5" s="266"/>
      <c r="AJ5" s="135"/>
      <c r="AK5" s="266" t="s">
        <v>1621</v>
      </c>
      <c r="AL5" s="481">
        <f>AL7-AN7</f>
        <v>0</v>
      </c>
      <c r="AM5" s="266"/>
      <c r="AN5" s="266"/>
      <c r="AO5" s="135"/>
      <c r="AP5" s="266" t="s">
        <v>1621</v>
      </c>
      <c r="AQ5" s="481">
        <f>AQ7-AS7</f>
        <v>0</v>
      </c>
      <c r="AR5" s="266"/>
      <c r="AS5" s="490"/>
    </row>
    <row r="6" spans="1:45" s="112" customFormat="1">
      <c r="B6" s="95"/>
      <c r="C6" s="95"/>
      <c r="D6" s="95"/>
      <c r="E6" s="95"/>
      <c r="F6" s="177" t="s">
        <v>678</v>
      </c>
      <c r="G6" s="2904" t="s">
        <v>707</v>
      </c>
      <c r="H6" s="2904"/>
      <c r="I6" s="2904"/>
      <c r="J6" s="176"/>
      <c r="K6" s="178"/>
      <c r="L6" s="168"/>
      <c r="M6" s="179"/>
      <c r="N6" s="143"/>
      <c r="O6" s="168" t="s">
        <v>780</v>
      </c>
      <c r="P6" s="144">
        <f>-UHF!F15</f>
        <v>0</v>
      </c>
      <c r="Q6" s="168"/>
      <c r="R6" s="169"/>
      <c r="S6" s="134"/>
      <c r="V6" s="489"/>
      <c r="W6" s="481"/>
      <c r="X6" s="266" t="s">
        <v>809</v>
      </c>
      <c r="Y6" s="266">
        <f>'5.3.1'!I53</f>
        <v>0</v>
      </c>
      <c r="Z6" s="266"/>
      <c r="AA6" s="266"/>
      <c r="AB6" s="481"/>
      <c r="AC6" s="266" t="s">
        <v>809</v>
      </c>
      <c r="AD6" s="266">
        <f>'5.1'!K32</f>
        <v>34858.495000000003</v>
      </c>
      <c r="AE6" s="135"/>
      <c r="AF6" s="266"/>
      <c r="AG6" s="481"/>
      <c r="AH6" s="266" t="s">
        <v>809</v>
      </c>
      <c r="AI6" s="266">
        <f>'5.2.1'!$I$20+'5.3.1'!$I$32</f>
        <v>155499.50699999998</v>
      </c>
      <c r="AJ6" s="135"/>
      <c r="AK6" s="266"/>
      <c r="AL6" s="481"/>
      <c r="AM6" s="266" t="s">
        <v>809</v>
      </c>
      <c r="AN6" s="266">
        <f>'1-4.1'!D978</f>
        <v>0</v>
      </c>
      <c r="AO6" s="135"/>
      <c r="AP6" s="266"/>
      <c r="AQ6" s="481"/>
      <c r="AR6" s="266" t="s">
        <v>809</v>
      </c>
      <c r="AS6" s="490">
        <f>'5.4'!I8</f>
        <v>0</v>
      </c>
    </row>
    <row r="7" spans="1:45" s="112" customFormat="1" ht="13.5" thickBot="1">
      <c r="B7" s="95"/>
      <c r="C7" s="95"/>
      <c r="D7" s="95"/>
      <c r="E7" s="95"/>
      <c r="F7" s="177"/>
      <c r="G7" s="392"/>
      <c r="H7" s="392"/>
      <c r="I7" s="392"/>
      <c r="J7" s="176"/>
      <c r="K7" s="178"/>
      <c r="L7" s="168"/>
      <c r="M7" s="179"/>
      <c r="N7" s="143"/>
      <c r="O7" s="168"/>
      <c r="P7" s="144"/>
      <c r="Q7" s="168"/>
      <c r="R7" s="169"/>
      <c r="S7" s="134"/>
      <c r="V7" s="489"/>
      <c r="W7" s="482">
        <f>W3</f>
        <v>811</v>
      </c>
      <c r="X7" s="266"/>
      <c r="Y7" s="482">
        <f>SUM(Y3:Y6)</f>
        <v>3027</v>
      </c>
      <c r="Z7" s="266"/>
      <c r="AA7" s="266"/>
      <c r="AB7" s="482">
        <f>AB3</f>
        <v>74795</v>
      </c>
      <c r="AC7" s="266"/>
      <c r="AD7" s="482">
        <f>SUM(AD3:AD6)</f>
        <v>34858.495000000003</v>
      </c>
      <c r="AE7" s="135"/>
      <c r="AF7" s="266"/>
      <c r="AG7" s="482">
        <f>AG3</f>
        <v>156233</v>
      </c>
      <c r="AH7" s="266"/>
      <c r="AI7" s="482">
        <f>SUM(AI3:AI6)</f>
        <v>155499.50699999998</v>
      </c>
      <c r="AJ7" s="135"/>
      <c r="AK7" s="266"/>
      <c r="AL7" s="482">
        <f>AL3</f>
        <v>0</v>
      </c>
      <c r="AM7" s="266"/>
      <c r="AN7" s="482">
        <f>SUM(AN3:AN6)</f>
        <v>0</v>
      </c>
      <c r="AO7" s="135"/>
      <c r="AP7" s="266"/>
      <c r="AQ7" s="482">
        <f>AQ3</f>
        <v>0</v>
      </c>
      <c r="AR7" s="266"/>
      <c r="AS7" s="491">
        <f>SUM(AS3:AS6)</f>
        <v>0</v>
      </c>
    </row>
    <row r="8" spans="1:45" s="112" customFormat="1">
      <c r="A8" s="473" t="s">
        <v>1475</v>
      </c>
      <c r="B8" s="180" t="s">
        <v>1476</v>
      </c>
      <c r="C8" s="95"/>
      <c r="D8" s="95"/>
      <c r="E8" s="95"/>
      <c r="F8" s="172"/>
      <c r="G8" s="121"/>
      <c r="H8" s="94"/>
      <c r="I8" s="131"/>
      <c r="J8" s="168" t="s">
        <v>801</v>
      </c>
      <c r="K8" s="171" t="e">
        <f>OCI!#REF!+460</f>
        <v>#REF!</v>
      </c>
      <c r="L8" s="168"/>
      <c r="M8" s="181"/>
      <c r="N8" s="129"/>
      <c r="O8" s="168" t="s">
        <v>802</v>
      </c>
      <c r="P8" s="148">
        <f>+R4-P10</f>
        <v>0</v>
      </c>
      <c r="Q8" s="170" t="s">
        <v>803</v>
      </c>
      <c r="R8" s="171">
        <f>UHF!F10</f>
        <v>0</v>
      </c>
      <c r="S8" s="134"/>
      <c r="V8" s="489"/>
      <c r="W8" s="266"/>
      <c r="X8" s="266"/>
      <c r="Y8" s="266"/>
      <c r="Z8" s="266"/>
      <c r="AA8" s="266"/>
      <c r="AB8" s="266"/>
      <c r="AC8" s="266"/>
      <c r="AD8" s="266"/>
      <c r="AE8" s="135"/>
      <c r="AF8" s="266"/>
      <c r="AG8" s="266"/>
      <c r="AH8" s="266"/>
      <c r="AI8" s="266"/>
      <c r="AJ8" s="135"/>
      <c r="AK8" s="266"/>
      <c r="AL8" s="266"/>
      <c r="AM8" s="266"/>
      <c r="AN8" s="266"/>
      <c r="AO8" s="135"/>
      <c r="AP8" s="266"/>
      <c r="AQ8" s="266"/>
      <c r="AR8" s="266"/>
      <c r="AS8" s="490"/>
    </row>
    <row r="9" spans="1:45" s="112" customFormat="1">
      <c r="B9" s="120"/>
      <c r="C9" s="95"/>
      <c r="D9" s="95"/>
      <c r="E9" s="95"/>
      <c r="F9" s="172"/>
      <c r="G9" s="121"/>
      <c r="H9" s="94"/>
      <c r="I9" s="131"/>
      <c r="J9" s="176" t="s">
        <v>804</v>
      </c>
      <c r="K9" s="144" t="e">
        <f>-G15</f>
        <v>#REF!</v>
      </c>
      <c r="L9" s="168"/>
      <c r="M9" s="181"/>
      <c r="N9" s="129"/>
      <c r="O9" s="168" t="s">
        <v>1526</v>
      </c>
      <c r="P9" s="144">
        <v>0</v>
      </c>
      <c r="Q9" s="170" t="s">
        <v>805</v>
      </c>
      <c r="R9" s="171" t="e">
        <f>+G10</f>
        <v>#REF!</v>
      </c>
      <c r="S9" s="134"/>
      <c r="V9" s="489" t="s">
        <v>1622</v>
      </c>
      <c r="W9" s="266">
        <f>-Lead!K223</f>
        <v>0</v>
      </c>
      <c r="X9" s="266"/>
      <c r="Y9" s="266">
        <f>W5+W9</f>
        <v>-2216</v>
      </c>
      <c r="Z9" s="266"/>
      <c r="AA9" s="266" t="s">
        <v>1622</v>
      </c>
      <c r="AB9" s="266">
        <f>-Lead!K224</f>
        <v>0</v>
      </c>
      <c r="AC9" s="266"/>
      <c r="AD9" s="266">
        <f>AB5+AB9</f>
        <v>39936.504999999997</v>
      </c>
      <c r="AE9" s="135"/>
      <c r="AF9" s="266" t="s">
        <v>1622</v>
      </c>
      <c r="AG9" s="266">
        <f>-Lead!K222</f>
        <v>0</v>
      </c>
      <c r="AH9" s="266"/>
      <c r="AI9" s="266">
        <f>AG5+AG9</f>
        <v>733.49300000001676</v>
      </c>
      <c r="AJ9" s="135"/>
      <c r="AK9" s="266" t="s">
        <v>1622</v>
      </c>
      <c r="AL9" s="266">
        <f>-Lead!P222</f>
        <v>0</v>
      </c>
      <c r="AM9" s="266"/>
      <c r="AN9" s="266">
        <f>AL5+AL9</f>
        <v>0</v>
      </c>
      <c r="AO9" s="135"/>
      <c r="AP9" s="266" t="s">
        <v>1622</v>
      </c>
      <c r="AQ9" s="266">
        <f>-Lead!U222</f>
        <v>0</v>
      </c>
      <c r="AR9" s="266"/>
      <c r="AS9" s="490">
        <f>AQ5+AQ9</f>
        <v>0</v>
      </c>
    </row>
    <row r="10" spans="1:45" s="112" customFormat="1" ht="13.5" thickBot="1">
      <c r="B10" s="182" t="s">
        <v>752</v>
      </c>
      <c r="C10" s="95"/>
      <c r="D10" s="95"/>
      <c r="E10" s="95"/>
      <c r="F10" s="172"/>
      <c r="G10" s="121" t="e">
        <f>IS!#REF!</f>
        <v>#REF!</v>
      </c>
      <c r="H10" s="95"/>
      <c r="I10" s="121" t="e">
        <f>IS!#REF!</f>
        <v>#REF!</v>
      </c>
      <c r="J10" s="176" t="s">
        <v>806</v>
      </c>
      <c r="K10" s="129" t="e">
        <f>-G23</f>
        <v>#REF!</v>
      </c>
      <c r="L10" s="168"/>
      <c r="M10" s="169"/>
      <c r="N10" s="151"/>
      <c r="O10" s="168" t="s">
        <v>807</v>
      </c>
      <c r="P10" s="144">
        <f>BS!F26</f>
        <v>2079</v>
      </c>
      <c r="Q10" s="112" t="s">
        <v>808</v>
      </c>
      <c r="R10" s="171" t="e">
        <f>UHF!F38-CF!R9</f>
        <v>#REF!</v>
      </c>
      <c r="S10" s="134"/>
      <c r="T10" s="476"/>
      <c r="V10" s="489"/>
      <c r="W10" s="266"/>
      <c r="X10" s="266"/>
      <c r="Y10" s="266"/>
      <c r="Z10" s="266"/>
      <c r="AA10" s="135"/>
      <c r="AB10" s="135"/>
      <c r="AC10" s="135"/>
      <c r="AD10" s="135"/>
      <c r="AE10" s="135"/>
      <c r="AF10" s="135"/>
      <c r="AG10" s="135"/>
      <c r="AH10" s="135"/>
      <c r="AI10" s="135"/>
      <c r="AJ10" s="135"/>
      <c r="AK10" s="135"/>
      <c r="AL10" s="135"/>
      <c r="AM10" s="135"/>
      <c r="AN10" s="135"/>
      <c r="AO10" s="135"/>
      <c r="AP10" s="135"/>
      <c r="AQ10" s="135"/>
      <c r="AR10" s="135"/>
      <c r="AS10" s="492"/>
    </row>
    <row r="11" spans="1:45" s="112" customFormat="1" ht="13.5" thickBot="1">
      <c r="B11" s="95"/>
      <c r="C11" s="95"/>
      <c r="D11" s="95"/>
      <c r="E11" s="95"/>
      <c r="F11" s="172"/>
      <c r="G11" s="121"/>
      <c r="H11" s="95"/>
      <c r="I11" s="121"/>
      <c r="J11" s="183"/>
      <c r="K11" s="144"/>
      <c r="L11" s="176"/>
      <c r="M11" s="181"/>
      <c r="N11" s="151"/>
      <c r="O11" s="168" t="s">
        <v>809</v>
      </c>
      <c r="P11" s="144">
        <v>2483311</v>
      </c>
      <c r="Q11" s="170" t="s">
        <v>810</v>
      </c>
      <c r="R11" s="171" t="e">
        <f>UHF!F43</f>
        <v>#REF!</v>
      </c>
      <c r="S11" s="134"/>
      <c r="V11" s="489"/>
      <c r="W11" s="483" t="s">
        <v>1627</v>
      </c>
      <c r="X11" s="484"/>
      <c r="Y11" s="485">
        <f>Y9+AD9+AI9+AN9+AS9</f>
        <v>38453.998000000014</v>
      </c>
      <c r="Z11" s="266"/>
      <c r="AA11" s="135"/>
      <c r="AB11" s="135"/>
      <c r="AC11" s="135"/>
      <c r="AD11" s="135"/>
      <c r="AE11" s="135"/>
      <c r="AF11" s="135"/>
      <c r="AG11" s="135"/>
      <c r="AH11" s="135"/>
      <c r="AI11" s="135"/>
      <c r="AJ11" s="135"/>
      <c r="AK11" s="135"/>
      <c r="AL11" s="135"/>
      <c r="AM11" s="135"/>
      <c r="AN11" s="135"/>
      <c r="AO11" s="135"/>
      <c r="AP11" s="135"/>
      <c r="AQ11" s="135"/>
      <c r="AR11" s="135"/>
      <c r="AS11" s="492"/>
    </row>
    <row r="12" spans="1:45" s="112" customFormat="1" ht="13.5" thickBot="1">
      <c r="B12" s="120" t="s">
        <v>1617</v>
      </c>
      <c r="C12" s="95"/>
      <c r="D12" s="95"/>
      <c r="E12" s="95"/>
      <c r="F12" s="172"/>
      <c r="G12" s="121"/>
      <c r="H12" s="95"/>
      <c r="I12" s="121"/>
      <c r="J12" s="183"/>
      <c r="K12" s="144"/>
      <c r="L12" s="176"/>
      <c r="M12" s="181"/>
      <c r="N12" s="151"/>
      <c r="O12" s="168"/>
      <c r="P12" s="135"/>
      <c r="Q12" s="168"/>
      <c r="R12" s="169"/>
      <c r="S12" s="134"/>
      <c r="V12" s="493"/>
      <c r="W12" s="494"/>
      <c r="X12" s="494"/>
      <c r="Y12" s="494"/>
      <c r="Z12" s="494"/>
      <c r="AA12" s="495"/>
      <c r="AB12" s="495"/>
      <c r="AC12" s="495"/>
      <c r="AD12" s="495"/>
      <c r="AE12" s="495"/>
      <c r="AF12" s="495"/>
      <c r="AG12" s="495"/>
      <c r="AH12" s="495"/>
      <c r="AI12" s="495"/>
      <c r="AJ12" s="495"/>
      <c r="AK12" s="495"/>
      <c r="AL12" s="495"/>
      <c r="AM12" s="495"/>
      <c r="AN12" s="495"/>
      <c r="AO12" s="495"/>
      <c r="AP12" s="495"/>
      <c r="AQ12" s="495"/>
      <c r="AR12" s="495"/>
      <c r="AS12" s="496"/>
    </row>
    <row r="13" spans="1:45" s="112" customFormat="1" ht="5.25" customHeight="1" thickTop="1">
      <c r="B13" s="120"/>
      <c r="C13" s="95"/>
      <c r="D13" s="95"/>
      <c r="E13" s="95"/>
      <c r="F13" s="172"/>
      <c r="G13" s="121"/>
      <c r="H13" s="95"/>
      <c r="I13" s="121"/>
      <c r="J13" s="183"/>
      <c r="K13" s="144"/>
      <c r="L13" s="176"/>
      <c r="M13" s="181"/>
      <c r="N13" s="151"/>
      <c r="O13" s="168"/>
      <c r="P13" s="135"/>
      <c r="Q13" s="168"/>
      <c r="R13" s="169"/>
      <c r="V13" s="134"/>
      <c r="W13" s="134"/>
      <c r="X13" s="134"/>
      <c r="Y13" s="134"/>
      <c r="Z13" s="134"/>
    </row>
    <row r="14" spans="1:45" s="112" customFormat="1" ht="12" customHeight="1">
      <c r="B14" s="102" t="s">
        <v>712</v>
      </c>
      <c r="C14" s="102"/>
      <c r="D14" s="102"/>
      <c r="E14" s="102"/>
      <c r="F14" s="172"/>
      <c r="G14" s="121"/>
      <c r="H14" s="95"/>
      <c r="I14" s="121"/>
      <c r="J14" s="183"/>
      <c r="K14" s="144"/>
      <c r="L14" s="176"/>
      <c r="M14" s="181"/>
      <c r="N14" s="151"/>
      <c r="O14" s="184"/>
      <c r="P14" s="185">
        <f>SUM(P3:P11)</f>
        <v>2549158</v>
      </c>
      <c r="Q14" s="186"/>
      <c r="R14" s="187">
        <f>+P14</f>
        <v>2549158</v>
      </c>
      <c r="V14" s="134"/>
      <c r="W14" s="134"/>
      <c r="X14" s="134"/>
      <c r="Y14" s="134"/>
      <c r="Z14" s="134"/>
    </row>
    <row r="15" spans="1:45" s="112" customFormat="1">
      <c r="B15" s="188" t="s">
        <v>713</v>
      </c>
      <c r="C15" s="188"/>
      <c r="D15" s="188"/>
      <c r="E15" s="188"/>
      <c r="F15" s="172"/>
      <c r="G15" s="121" t="e">
        <f>-IS!#REF!</f>
        <v>#REF!</v>
      </c>
      <c r="H15" s="103"/>
      <c r="I15" s="121" t="e">
        <f>-IS!#REF!</f>
        <v>#REF!</v>
      </c>
      <c r="J15" s="189"/>
      <c r="K15" s="185"/>
      <c r="L15" s="189" t="s">
        <v>811</v>
      </c>
      <c r="M15" s="190">
        <f>BS!F12</f>
        <v>535342.76199999999</v>
      </c>
      <c r="N15" s="151"/>
      <c r="V15" s="134"/>
      <c r="W15" s="134"/>
      <c r="X15" s="134"/>
      <c r="Y15" s="134"/>
      <c r="Z15" s="134"/>
    </row>
    <row r="16" spans="1:45" s="112" customFormat="1" ht="3" customHeight="1">
      <c r="B16" s="188"/>
      <c r="C16" s="188"/>
      <c r="D16" s="188"/>
      <c r="E16" s="188"/>
      <c r="F16" s="172"/>
      <c r="G16" s="121"/>
      <c r="H16" s="103"/>
      <c r="I16" s="121"/>
      <c r="J16" s="129"/>
      <c r="K16" s="144"/>
      <c r="L16" s="176"/>
      <c r="M16" s="391"/>
      <c r="N16" s="151"/>
      <c r="V16" s="134"/>
      <c r="W16" s="134"/>
      <c r="X16" s="134"/>
      <c r="Y16" s="134"/>
      <c r="Z16" s="134"/>
    </row>
    <row r="17" spans="2:26" s="112" customFormat="1" ht="12" customHeight="1" thickBot="1">
      <c r="B17" s="191" t="s">
        <v>1490</v>
      </c>
      <c r="C17" s="99"/>
      <c r="D17" s="99"/>
      <c r="E17" s="99"/>
      <c r="F17" s="172"/>
      <c r="G17" s="121"/>
      <c r="H17" s="103"/>
      <c r="I17" s="121"/>
      <c r="J17" s="151"/>
      <c r="K17" s="147">
        <f>+M17</f>
        <v>535342.76199999999</v>
      </c>
      <c r="L17" s="176"/>
      <c r="M17" s="129">
        <f>SUM(M3:M15)</f>
        <v>535342.76199999999</v>
      </c>
      <c r="N17" s="151"/>
      <c r="V17" s="2914" t="s">
        <v>1628</v>
      </c>
      <c r="W17" s="2914"/>
      <c r="X17" s="2914"/>
      <c r="Y17" s="2914"/>
      <c r="Z17" s="134"/>
    </row>
    <row r="18" spans="2:26" s="112" customFormat="1" ht="12" customHeight="1">
      <c r="B18" s="119" t="s">
        <v>812</v>
      </c>
      <c r="C18" s="99"/>
      <c r="D18" s="99"/>
      <c r="E18" s="99"/>
      <c r="F18" s="172"/>
      <c r="G18" s="121"/>
      <c r="H18" s="103"/>
      <c r="I18" s="121"/>
      <c r="J18" s="151"/>
      <c r="K18" s="147"/>
      <c r="L18" s="129"/>
      <c r="M18" s="129"/>
      <c r="N18" s="151"/>
      <c r="V18" s="134" t="s">
        <v>1629</v>
      </c>
      <c r="W18" s="497">
        <f>BS!H14</f>
        <v>5290</v>
      </c>
      <c r="X18" s="134"/>
      <c r="Y18" s="134"/>
      <c r="Z18" s="134"/>
    </row>
    <row r="19" spans="2:26" s="112" customFormat="1" ht="12" customHeight="1">
      <c r="B19" s="192" t="s">
        <v>736</v>
      </c>
      <c r="C19" s="95"/>
      <c r="D19" s="99"/>
      <c r="E19" s="99"/>
      <c r="F19" s="172"/>
      <c r="G19" s="121">
        <v>0</v>
      </c>
      <c r="H19" s="103"/>
      <c r="I19" s="122">
        <v>3263</v>
      </c>
      <c r="J19" s="151"/>
      <c r="K19" s="147"/>
      <c r="L19" s="129"/>
      <c r="M19" s="129"/>
      <c r="N19" s="151"/>
      <c r="V19" s="134"/>
      <c r="W19" s="498"/>
      <c r="X19" s="134"/>
      <c r="Y19" s="134"/>
      <c r="Z19" s="134"/>
    </row>
    <row r="20" spans="2:26" s="112" customFormat="1" ht="12" customHeight="1">
      <c r="B20" s="192" t="s">
        <v>1618</v>
      </c>
      <c r="C20" s="95"/>
      <c r="D20" s="99"/>
      <c r="E20" s="99"/>
      <c r="F20" s="172"/>
      <c r="G20" s="121">
        <v>0</v>
      </c>
      <c r="H20" s="103"/>
      <c r="I20" s="122" t="e">
        <f>-IS!#REF!-CF!I19</f>
        <v>#REF!</v>
      </c>
      <c r="J20" s="151"/>
      <c r="K20" s="147"/>
      <c r="L20" s="129"/>
      <c r="M20" s="129"/>
      <c r="N20" s="151"/>
      <c r="V20" s="134" t="s">
        <v>1630</v>
      </c>
      <c r="W20" s="498"/>
      <c r="X20" s="134"/>
      <c r="Y20" s="134"/>
      <c r="Z20" s="134"/>
    </row>
    <row r="21" spans="2:26" s="112" customFormat="1" ht="5.25" customHeight="1">
      <c r="B21" s="192"/>
      <c r="C21" s="95"/>
      <c r="D21" s="99"/>
      <c r="E21" s="99"/>
      <c r="F21" s="172"/>
      <c r="G21" s="121"/>
      <c r="H21" s="103"/>
      <c r="I21" s="122"/>
      <c r="J21" s="151"/>
      <c r="K21" s="147"/>
      <c r="L21" s="129"/>
      <c r="M21" s="129"/>
      <c r="N21" s="151"/>
      <c r="V21" s="134"/>
      <c r="W21" s="498"/>
      <c r="X21" s="134"/>
      <c r="Y21" s="134"/>
      <c r="Z21" s="134"/>
    </row>
    <row r="22" spans="2:26" s="112" customFormat="1">
      <c r="B22" s="95" t="s">
        <v>1529</v>
      </c>
      <c r="C22" s="95"/>
      <c r="D22" s="95"/>
      <c r="E22" s="95"/>
      <c r="F22" s="172"/>
      <c r="G22" s="121" t="e">
        <f>IS!#REF!</f>
        <v>#REF!</v>
      </c>
      <c r="H22" s="103"/>
      <c r="I22" s="122" t="e">
        <f>IS!#REF!</f>
        <v>#REF!</v>
      </c>
      <c r="J22" s="151"/>
      <c r="K22" s="147"/>
      <c r="L22" s="151"/>
      <c r="M22" s="151"/>
      <c r="N22" s="151"/>
      <c r="P22" s="145">
        <v>61533</v>
      </c>
      <c r="Q22" s="145"/>
      <c r="V22" s="134" t="s">
        <v>1633</v>
      </c>
      <c r="W22" s="498">
        <f>-(Lead!K241+Lead!K284+Lead!K239)</f>
        <v>0</v>
      </c>
      <c r="X22" s="134" t="s">
        <v>1635</v>
      </c>
      <c r="Y22" s="134">
        <f>W31-Y31</f>
        <v>-9381</v>
      </c>
      <c r="Z22" s="134"/>
    </row>
    <row r="23" spans="2:26" s="112" customFormat="1" ht="12.75" customHeight="1">
      <c r="B23" s="102" t="s">
        <v>1470</v>
      </c>
      <c r="C23" s="95"/>
      <c r="D23" s="95"/>
      <c r="E23" s="95"/>
      <c r="F23" s="172"/>
      <c r="G23" s="121" t="e">
        <f>-IS!#REF!</f>
        <v>#REF!</v>
      </c>
      <c r="H23" s="103"/>
      <c r="I23" s="122" t="e">
        <f>-IS!#REF!</f>
        <v>#REF!</v>
      </c>
      <c r="J23" s="2898" t="s">
        <v>687</v>
      </c>
      <c r="K23" s="2899"/>
      <c r="L23" s="2899"/>
      <c r="M23" s="2900"/>
      <c r="N23" s="151"/>
      <c r="P23" s="145">
        <v>24754</v>
      </c>
      <c r="Q23" s="145">
        <f>P22-P23</f>
        <v>36779</v>
      </c>
      <c r="V23" s="134" t="s">
        <v>1353</v>
      </c>
      <c r="W23" s="498"/>
      <c r="X23" s="134" t="s">
        <v>1636</v>
      </c>
      <c r="Y23" s="134"/>
      <c r="Z23" s="134"/>
    </row>
    <row r="24" spans="2:26" s="112" customFormat="1" ht="6" customHeight="1">
      <c r="B24" s="193"/>
      <c r="C24" s="95"/>
      <c r="D24" s="95"/>
      <c r="E24" s="95"/>
      <c r="F24" s="172"/>
      <c r="G24" s="121"/>
      <c r="H24" s="125"/>
      <c r="I24" s="122"/>
      <c r="J24" s="156"/>
      <c r="K24" s="157"/>
      <c r="L24" s="158"/>
      <c r="M24" s="159"/>
      <c r="N24" s="147"/>
      <c r="V24" s="134"/>
      <c r="W24" s="498"/>
      <c r="X24" s="134"/>
      <c r="Y24" s="134"/>
      <c r="Z24" s="134"/>
    </row>
    <row r="25" spans="2:26" s="112" customFormat="1" ht="17.25" customHeight="1">
      <c r="B25" s="95"/>
      <c r="C25" s="95"/>
      <c r="D25" s="95"/>
      <c r="E25" s="95"/>
      <c r="F25" s="172"/>
      <c r="G25" s="194" t="e">
        <f>SUM(G10:G23)</f>
        <v>#REF!</v>
      </c>
      <c r="H25" s="125"/>
      <c r="I25" s="195" t="e">
        <f>SUM(I10:I23)</f>
        <v>#REF!</v>
      </c>
      <c r="J25" s="166" t="s">
        <v>798</v>
      </c>
      <c r="K25" s="167">
        <f>BS!H14</f>
        <v>5290</v>
      </c>
      <c r="L25" s="168"/>
      <c r="M25" s="169"/>
      <c r="N25" s="147"/>
      <c r="V25" s="112" t="s">
        <v>1634</v>
      </c>
      <c r="W25" s="498"/>
    </row>
    <row r="26" spans="2:26" s="112" customFormat="1" ht="7.5" customHeight="1">
      <c r="B26" s="95"/>
      <c r="C26" s="95"/>
      <c r="D26" s="95"/>
      <c r="E26" s="95"/>
      <c r="F26" s="172"/>
      <c r="G26" s="152"/>
      <c r="H26" s="103"/>
      <c r="I26" s="103"/>
      <c r="J26" s="183"/>
      <c r="K26" s="167"/>
      <c r="L26" s="168"/>
      <c r="M26" s="169"/>
      <c r="N26" s="147"/>
      <c r="O26" s="144"/>
      <c r="P26" s="144"/>
      <c r="Q26" s="144"/>
      <c r="R26" s="147"/>
      <c r="W26" s="498"/>
    </row>
    <row r="27" spans="2:26" s="112" customFormat="1">
      <c r="B27" s="120" t="s">
        <v>813</v>
      </c>
      <c r="C27" s="95"/>
      <c r="D27" s="95"/>
      <c r="E27" s="95"/>
      <c r="F27" s="172"/>
      <c r="G27" s="121"/>
      <c r="H27" s="103"/>
      <c r="I27" s="131"/>
      <c r="J27" s="183"/>
      <c r="K27" s="178"/>
      <c r="L27" s="168"/>
      <c r="M27" s="179"/>
      <c r="N27" s="147"/>
      <c r="O27" s="153"/>
      <c r="P27" s="147"/>
      <c r="Q27" s="147"/>
      <c r="R27" s="147"/>
      <c r="V27" s="112" t="s">
        <v>1631</v>
      </c>
      <c r="W27" s="498"/>
    </row>
    <row r="28" spans="2:26" s="112" customFormat="1" ht="3" customHeight="1">
      <c r="B28" s="120"/>
      <c r="C28" s="95"/>
      <c r="D28" s="95"/>
      <c r="E28" s="95"/>
      <c r="F28" s="172"/>
      <c r="G28" s="121"/>
      <c r="H28" s="103"/>
      <c r="I28" s="131"/>
      <c r="J28" s="176"/>
      <c r="K28" s="144"/>
      <c r="L28" s="176" t="s">
        <v>809</v>
      </c>
      <c r="M28" s="196">
        <f>BS!F14</f>
        <v>14671</v>
      </c>
      <c r="N28" s="147"/>
      <c r="O28" s="153"/>
      <c r="P28" s="147"/>
      <c r="Q28" s="147"/>
      <c r="R28" s="147"/>
      <c r="W28" s="498"/>
    </row>
    <row r="29" spans="2:26" s="112" customFormat="1" ht="15.75" customHeight="1">
      <c r="B29" s="119" t="s">
        <v>814</v>
      </c>
      <c r="C29" s="95"/>
      <c r="D29" s="95"/>
      <c r="E29" s="95"/>
      <c r="F29" s="172"/>
      <c r="G29" s="197" t="e">
        <f>-K5</f>
        <v>#REF!</v>
      </c>
      <c r="H29" s="103"/>
      <c r="I29" s="198">
        <v>224260</v>
      </c>
      <c r="J29" s="129"/>
      <c r="K29" s="144"/>
      <c r="L29" s="176"/>
      <c r="M29" s="181"/>
      <c r="N29" s="147"/>
      <c r="O29" s="144"/>
      <c r="P29" s="144"/>
      <c r="Q29" s="144"/>
      <c r="R29" s="147"/>
      <c r="V29" s="112" t="s">
        <v>1632</v>
      </c>
      <c r="W29" s="498"/>
      <c r="X29" s="112" t="s">
        <v>811</v>
      </c>
      <c r="Y29" s="134">
        <f>BS!F14</f>
        <v>14671</v>
      </c>
    </row>
    <row r="30" spans="2:26" s="112" customFormat="1">
      <c r="B30" s="119" t="str">
        <f>BS!A14</f>
        <v>Dividend, profit and other receivable</v>
      </c>
      <c r="C30" s="95"/>
      <c r="D30" s="95"/>
      <c r="E30" s="95"/>
      <c r="F30" s="172"/>
      <c r="G30" s="199">
        <f>+K30</f>
        <v>-9381</v>
      </c>
      <c r="H30" s="103"/>
      <c r="I30" s="200">
        <v>16905</v>
      </c>
      <c r="J30" s="201" t="s">
        <v>815</v>
      </c>
      <c r="K30" s="185">
        <f>+K25-M28</f>
        <v>-9381</v>
      </c>
      <c r="L30" s="201"/>
      <c r="M30" s="202"/>
      <c r="N30" s="147"/>
      <c r="O30" s="144"/>
      <c r="P30" s="144"/>
      <c r="Q30" s="144"/>
      <c r="R30" s="147"/>
      <c r="W30" s="498"/>
    </row>
    <row r="31" spans="2:26" ht="13.5" thickBot="1">
      <c r="B31" s="119" t="s">
        <v>688</v>
      </c>
      <c r="G31" s="199">
        <f>+K44</f>
        <v>192</v>
      </c>
      <c r="H31" s="103"/>
      <c r="I31" s="200">
        <v>-2507</v>
      </c>
      <c r="J31" s="105" t="s">
        <v>816</v>
      </c>
      <c r="K31" s="95"/>
      <c r="L31" s="95"/>
      <c r="M31" s="95"/>
      <c r="W31" s="499">
        <f>SUM(W18:W29)</f>
        <v>5290</v>
      </c>
      <c r="Y31" s="499">
        <f>SUM(Y28:Y29)</f>
        <v>14671</v>
      </c>
    </row>
    <row r="32" spans="2:26" s="112" customFormat="1">
      <c r="B32" s="119" t="s">
        <v>1332</v>
      </c>
      <c r="C32" s="95"/>
      <c r="D32" s="95"/>
      <c r="E32" s="95"/>
      <c r="F32" s="172"/>
      <c r="G32" s="199" t="e">
        <f>BS!#REF!-BS!#REF!</f>
        <v>#REF!</v>
      </c>
      <c r="H32" s="103"/>
      <c r="I32" s="200">
        <v>-1000</v>
      </c>
      <c r="J32" s="96" t="s">
        <v>817</v>
      </c>
      <c r="K32" s="144"/>
      <c r="L32" s="144"/>
      <c r="M32" s="129"/>
      <c r="N32" s="147"/>
      <c r="O32" s="144" t="s">
        <v>780</v>
      </c>
      <c r="P32" s="144" t="s">
        <v>803</v>
      </c>
      <c r="Q32" s="144"/>
      <c r="R32" s="147"/>
    </row>
    <row r="33" spans="1:18" s="112" customFormat="1">
      <c r="B33" s="119" t="e">
        <f>BS!#REF!</f>
        <v>#REF!</v>
      </c>
      <c r="C33" s="95"/>
      <c r="D33" s="95"/>
      <c r="E33" s="95"/>
      <c r="F33" s="172"/>
      <c r="G33" s="199" t="e">
        <f>BS!#REF!-BS!#REF!</f>
        <v>#REF!</v>
      </c>
      <c r="H33" s="103"/>
      <c r="I33" s="200">
        <v>-10919</v>
      </c>
      <c r="J33" s="96"/>
      <c r="K33" s="144"/>
      <c r="L33" s="144"/>
      <c r="M33" s="129"/>
      <c r="N33" s="147"/>
      <c r="O33" s="144"/>
      <c r="P33" s="144"/>
      <c r="Q33" s="144"/>
      <c r="R33" s="147"/>
    </row>
    <row r="34" spans="1:18" s="112" customFormat="1">
      <c r="B34" s="119" t="str">
        <f>BS!A18</f>
        <v>Receivable from National Clearing Company of Pakistan Limited</v>
      </c>
      <c r="C34" s="95"/>
      <c r="D34" s="95"/>
      <c r="E34" s="95"/>
      <c r="F34" s="172"/>
      <c r="G34" s="199">
        <f>BS!H18-BS!F18</f>
        <v>5722</v>
      </c>
      <c r="H34" s="103"/>
      <c r="I34" s="200">
        <v>-48021</v>
      </c>
      <c r="J34" s="96"/>
      <c r="K34" s="144"/>
      <c r="L34" s="144"/>
      <c r="M34" s="129"/>
      <c r="N34" s="147"/>
      <c r="O34" s="144"/>
      <c r="P34" s="144"/>
      <c r="Q34" s="144"/>
      <c r="R34" s="147"/>
    </row>
    <row r="35" spans="1:18" s="113" customFormat="1" ht="15.75" customHeight="1">
      <c r="B35" s="462" t="s">
        <v>1396</v>
      </c>
      <c r="C35" s="97"/>
      <c r="D35" s="97"/>
      <c r="E35" s="97"/>
      <c r="F35" s="453"/>
      <c r="G35" s="454" t="e">
        <f>-BS!#REF!+BS!#REF!</f>
        <v>#REF!</v>
      </c>
      <c r="H35" s="455"/>
      <c r="I35" s="456">
        <v>-27514</v>
      </c>
      <c r="J35" s="461"/>
      <c r="K35" s="427"/>
      <c r="L35" s="427"/>
      <c r="M35" s="150"/>
      <c r="N35" s="424"/>
      <c r="O35" s="427"/>
      <c r="P35" s="427"/>
      <c r="Q35" s="427"/>
      <c r="R35" s="424"/>
    </row>
    <row r="36" spans="1:18" s="112" customFormat="1" ht="15.75" customHeight="1">
      <c r="B36" s="102"/>
      <c r="C36" s="95"/>
      <c r="D36" s="95"/>
      <c r="E36" s="95"/>
      <c r="F36" s="172"/>
      <c r="G36" s="204" t="e">
        <f>SUM(G29:G35)</f>
        <v>#REF!</v>
      </c>
      <c r="H36" s="103"/>
      <c r="I36" s="131">
        <f>SUM(I29:I35)</f>
        <v>151204</v>
      </c>
      <c r="J36" s="2905" t="s">
        <v>818</v>
      </c>
      <c r="K36" s="2906"/>
      <c r="L36" s="2906"/>
      <c r="M36" s="2907"/>
      <c r="N36" s="147"/>
      <c r="O36" s="144">
        <v>248411</v>
      </c>
      <c r="P36" s="144">
        <v>-85647</v>
      </c>
      <c r="Q36" s="144"/>
      <c r="R36" s="147"/>
    </row>
    <row r="37" spans="1:18" s="112" customFormat="1" ht="12" customHeight="1">
      <c r="B37" s="120" t="s">
        <v>819</v>
      </c>
      <c r="C37" s="95"/>
      <c r="D37" s="95"/>
      <c r="E37" s="95"/>
      <c r="F37" s="172"/>
      <c r="G37" s="204"/>
      <c r="H37" s="103"/>
      <c r="I37" s="131"/>
      <c r="J37" s="205" t="s">
        <v>798</v>
      </c>
      <c r="K37" s="162">
        <f>BS!$H$17</f>
        <v>3416</v>
      </c>
      <c r="L37" s="206"/>
      <c r="M37" s="207"/>
      <c r="N37" s="147"/>
      <c r="O37" s="147">
        <f>+O36+P36</f>
        <v>162764</v>
      </c>
      <c r="P37" s="144"/>
      <c r="Q37" s="147"/>
      <c r="R37" s="144"/>
    </row>
    <row r="38" spans="1:18" s="112" customFormat="1" hidden="1">
      <c r="B38" s="120"/>
      <c r="C38" s="95"/>
      <c r="D38" s="95"/>
      <c r="E38" s="95"/>
      <c r="F38" s="172"/>
      <c r="G38" s="121"/>
      <c r="H38" s="103"/>
      <c r="I38" s="131"/>
      <c r="J38" s="168"/>
      <c r="K38" s="169"/>
      <c r="L38" s="168"/>
      <c r="M38" s="169"/>
      <c r="N38" s="147"/>
      <c r="O38" s="147"/>
      <c r="P38" s="147"/>
      <c r="Q38" s="147"/>
      <c r="R38" s="147"/>
    </row>
    <row r="39" spans="1:18" s="112" customFormat="1" ht="16.5" customHeight="1">
      <c r="B39" s="208" t="str">
        <f>BS!A22</f>
        <v xml:space="preserve">Payable to MCB-Arif Habib Savings and Investments Limited -  </v>
      </c>
      <c r="C39" s="95"/>
      <c r="D39" s="95"/>
      <c r="E39" s="95"/>
      <c r="F39" s="172"/>
      <c r="G39" s="197">
        <f>(BS!H23-BS!F23)*-1</f>
        <v>74</v>
      </c>
      <c r="H39" s="103"/>
      <c r="I39" s="198">
        <v>-4287</v>
      </c>
      <c r="J39" s="168"/>
      <c r="K39" s="169"/>
      <c r="L39" s="168"/>
      <c r="M39" s="169"/>
      <c r="N39" s="129"/>
      <c r="O39" s="144"/>
      <c r="P39" s="144"/>
      <c r="Q39" s="144"/>
      <c r="R39" s="147"/>
    </row>
    <row r="40" spans="1:18" s="112" customFormat="1">
      <c r="B40" s="208" t="str">
        <f>BS!A24</f>
        <v>Payable to Central Depository Company of Pakistan Limited - Trustee</v>
      </c>
      <c r="C40" s="95"/>
      <c r="D40" s="95"/>
      <c r="E40" s="95"/>
      <c r="F40" s="172"/>
      <c r="G40" s="199">
        <f>(BS!H24-BS!F24)*-1</f>
        <v>15</v>
      </c>
      <c r="H40" s="103"/>
      <c r="I40" s="200">
        <v>-150</v>
      </c>
      <c r="J40" s="168"/>
      <c r="K40" s="169"/>
      <c r="L40" s="168"/>
      <c r="M40" s="169"/>
      <c r="N40" s="129"/>
      <c r="O40" s="144"/>
      <c r="P40" s="144"/>
      <c r="Q40" s="144"/>
      <c r="R40" s="147"/>
    </row>
    <row r="41" spans="1:18" s="112" customFormat="1">
      <c r="B41" s="208" t="str">
        <f>BS!A25</f>
        <v xml:space="preserve">Payable to the Securities and Exchange Commission of Pakistan </v>
      </c>
      <c r="C41" s="95"/>
      <c r="D41" s="95"/>
      <c r="E41" s="95"/>
      <c r="F41" s="172"/>
      <c r="G41" s="199">
        <f>(BS!H25-BS!F25)*-1</f>
        <v>-99</v>
      </c>
      <c r="H41" s="103"/>
      <c r="I41" s="200">
        <v>-599</v>
      </c>
      <c r="J41" s="168"/>
      <c r="K41" s="169"/>
      <c r="L41" s="168" t="s">
        <v>809</v>
      </c>
      <c r="M41" s="209">
        <f>BS!F17</f>
        <v>3224</v>
      </c>
      <c r="N41" s="129"/>
    </row>
    <row r="42" spans="1:18" s="112" customFormat="1">
      <c r="B42" s="208" t="str">
        <f>BS!A26</f>
        <v>Payable against redemption of units</v>
      </c>
      <c r="C42" s="95"/>
      <c r="D42" s="95"/>
      <c r="E42" s="95"/>
      <c r="F42" s="172"/>
      <c r="G42" s="199">
        <f>(BS!H26-BS!F26)*-1</f>
        <v>0</v>
      </c>
      <c r="H42" s="103"/>
      <c r="I42" s="200">
        <v>-1029</v>
      </c>
      <c r="J42" s="168"/>
      <c r="K42" s="169"/>
      <c r="L42" s="168"/>
      <c r="M42" s="169"/>
      <c r="N42" s="129"/>
    </row>
    <row r="43" spans="1:18" s="113" customFormat="1" ht="17.25" customHeight="1">
      <c r="B43" s="462" t="s">
        <v>692</v>
      </c>
      <c r="C43" s="97"/>
      <c r="D43" s="97"/>
      <c r="E43" s="97"/>
      <c r="F43" s="453"/>
      <c r="G43" s="454" t="e">
        <f>(+M54)-G22</f>
        <v>#REF!</v>
      </c>
      <c r="H43" s="455"/>
      <c r="I43" s="456">
        <v>-7587</v>
      </c>
      <c r="J43" s="457"/>
      <c r="K43" s="458"/>
      <c r="L43" s="459"/>
      <c r="M43" s="460"/>
      <c r="N43" s="150"/>
    </row>
    <row r="44" spans="1:18" s="394" customFormat="1" ht="20.25" customHeight="1">
      <c r="B44" s="117"/>
      <c r="C44" s="117"/>
      <c r="D44" s="117"/>
      <c r="E44" s="117"/>
      <c r="F44" s="446"/>
      <c r="G44" s="447" t="e">
        <f>SUM(G39:G43)</f>
        <v>#REF!</v>
      </c>
      <c r="H44" s="434"/>
      <c r="I44" s="109">
        <f>SUM(I39:I43)</f>
        <v>-13652</v>
      </c>
      <c r="J44" s="448" t="s">
        <v>820</v>
      </c>
      <c r="K44" s="449">
        <f>+K37-M41</f>
        <v>192</v>
      </c>
      <c r="L44" s="396"/>
      <c r="M44" s="448"/>
      <c r="N44" s="448"/>
    </row>
    <row r="45" spans="1:18" s="112" customFormat="1" ht="6.95" hidden="1" customHeight="1">
      <c r="B45" s="95"/>
      <c r="C45" s="95"/>
      <c r="D45" s="95"/>
      <c r="E45" s="95"/>
      <c r="F45" s="172"/>
      <c r="G45" s="204"/>
      <c r="H45" s="125"/>
      <c r="I45" s="131"/>
      <c r="J45" s="129"/>
      <c r="K45" s="144"/>
      <c r="L45" s="147"/>
      <c r="M45" s="129"/>
      <c r="N45" s="129"/>
    </row>
    <row r="46" spans="1:18" s="394" customFormat="1" ht="21" customHeight="1">
      <c r="B46" s="116" t="s">
        <v>1471</v>
      </c>
      <c r="C46" s="117"/>
      <c r="D46" s="117"/>
      <c r="E46" s="117"/>
      <c r="F46" s="440" t="s">
        <v>821</v>
      </c>
      <c r="G46" s="450" t="e">
        <f>+G44+G36+G25</f>
        <v>#REF!</v>
      </c>
      <c r="H46" s="434"/>
      <c r="I46" s="451" t="e">
        <f>+I44+I36+I25</f>
        <v>#REF!</v>
      </c>
      <c r="J46" s="452"/>
      <c r="K46" s="396"/>
      <c r="L46" s="396"/>
      <c r="M46" s="452"/>
      <c r="N46" s="452"/>
    </row>
    <row r="47" spans="1:18">
      <c r="G47" s="194"/>
      <c r="H47" s="103"/>
      <c r="I47" s="195"/>
      <c r="J47" s="131"/>
      <c r="L47" s="101"/>
      <c r="O47" s="112"/>
      <c r="P47" s="112"/>
      <c r="Q47" s="112"/>
      <c r="R47" s="112"/>
    </row>
    <row r="48" spans="1:18">
      <c r="A48" s="120" t="s">
        <v>1477</v>
      </c>
      <c r="B48" s="180" t="s">
        <v>1478</v>
      </c>
      <c r="H48" s="103"/>
      <c r="J48" s="2908" t="str">
        <f>+B43</f>
        <v>Accrued expenses and other liabilities</v>
      </c>
      <c r="K48" s="2909"/>
      <c r="L48" s="2909"/>
      <c r="M48" s="2910"/>
      <c r="O48" s="112"/>
      <c r="P48" s="112"/>
      <c r="Q48" s="112"/>
      <c r="R48" s="112"/>
    </row>
    <row r="49" spans="1:18" ht="8.25" customHeight="1">
      <c r="B49" s="180"/>
      <c r="H49" s="103"/>
      <c r="J49" s="210"/>
      <c r="K49" s="211"/>
      <c r="L49" s="211"/>
      <c r="M49" s="212"/>
      <c r="O49" s="112"/>
      <c r="P49" s="112"/>
      <c r="Q49" s="112"/>
      <c r="R49" s="112"/>
    </row>
    <row r="50" spans="1:18">
      <c r="B50" s="95" t="s">
        <v>758</v>
      </c>
      <c r="G50" s="204">
        <v>-2611</v>
      </c>
      <c r="H50" s="125"/>
      <c r="I50" s="131">
        <v>-63768</v>
      </c>
      <c r="J50" s="213"/>
      <c r="K50" s="214"/>
      <c r="L50" s="215" t="s">
        <v>798</v>
      </c>
      <c r="M50" s="216">
        <f>BS!H27</f>
        <v>32215</v>
      </c>
      <c r="N50" s="124"/>
    </row>
    <row r="51" spans="1:18">
      <c r="B51" s="95" t="s">
        <v>822</v>
      </c>
      <c r="G51" s="204">
        <f>('UHF-NEW'!O19)/1000</f>
        <v>281.13900000000001</v>
      </c>
      <c r="H51" s="125"/>
      <c r="I51" s="131">
        <v>5703703</v>
      </c>
      <c r="J51" s="217"/>
      <c r="K51" s="218"/>
      <c r="L51" s="219"/>
      <c r="M51" s="218"/>
      <c r="N51" s="124"/>
    </row>
    <row r="52" spans="1:18">
      <c r="B52" s="95" t="s">
        <v>823</v>
      </c>
      <c r="G52" s="204">
        <f>'UHF-NEW'!O25/1000</f>
        <v>-218.76208601912265</v>
      </c>
      <c r="H52" s="125"/>
      <c r="I52" s="131">
        <v>-6536518</v>
      </c>
      <c r="J52" s="217"/>
      <c r="K52" s="218"/>
      <c r="L52" s="219"/>
      <c r="M52" s="218"/>
      <c r="N52" s="124"/>
    </row>
    <row r="53" spans="1:18" ht="3" customHeight="1">
      <c r="G53" s="204"/>
      <c r="H53" s="125"/>
      <c r="I53" s="131"/>
      <c r="J53" s="217"/>
      <c r="K53" s="218"/>
      <c r="L53" s="219"/>
      <c r="M53" s="218"/>
      <c r="N53" s="124"/>
    </row>
    <row r="54" spans="1:18" s="117" customFormat="1" ht="21" customHeight="1">
      <c r="B54" s="116" t="s">
        <v>1472</v>
      </c>
      <c r="F54" s="440" t="s">
        <v>824</v>
      </c>
      <c r="G54" s="441">
        <f>SUM(G50:G52)</f>
        <v>-2548.6230860191226</v>
      </c>
      <c r="H54" s="434"/>
      <c r="I54" s="442">
        <f>SUM(I50:I52)</f>
        <v>-896583</v>
      </c>
      <c r="J54" s="443"/>
      <c r="K54" s="444"/>
      <c r="L54" s="443" t="s">
        <v>825</v>
      </c>
      <c r="M54" s="445">
        <f>+M60-M55-M50</f>
        <v>-8575</v>
      </c>
      <c r="N54" s="107"/>
    </row>
    <row r="55" spans="1:18" hidden="1">
      <c r="H55" s="103"/>
      <c r="J55" s="217"/>
      <c r="K55" s="218"/>
      <c r="L55" s="219" t="s">
        <v>826</v>
      </c>
      <c r="M55" s="220">
        <v>0</v>
      </c>
    </row>
    <row r="56" spans="1:18" ht="24" customHeight="1">
      <c r="B56" s="120" t="s">
        <v>1473</v>
      </c>
      <c r="F56" s="221" t="s">
        <v>827</v>
      </c>
      <c r="G56" s="194" t="e">
        <f>+G54+G46</f>
        <v>#REF!</v>
      </c>
      <c r="H56" s="103"/>
      <c r="I56" s="195" t="e">
        <f>+I54+I46</f>
        <v>#REF!</v>
      </c>
      <c r="J56" s="217"/>
      <c r="K56" s="218"/>
      <c r="L56" s="217"/>
      <c r="M56" s="220"/>
    </row>
    <row r="57" spans="1:18" ht="8.25" customHeight="1">
      <c r="B57" s="120"/>
      <c r="F57" s="221"/>
      <c r="G57" s="204"/>
      <c r="H57" s="103"/>
      <c r="I57" s="131"/>
      <c r="J57" s="217"/>
      <c r="K57" s="218"/>
      <c r="L57" s="217"/>
      <c r="M57" s="220"/>
    </row>
    <row r="58" spans="1:18">
      <c r="B58" s="95" t="s">
        <v>828</v>
      </c>
      <c r="G58" s="121" t="e">
        <f>I60</f>
        <v>#REF!</v>
      </c>
      <c r="H58" s="103"/>
      <c r="I58" s="122">
        <v>1291192</v>
      </c>
      <c r="J58" s="217" t="s">
        <v>809</v>
      </c>
      <c r="K58" s="222">
        <f>BS!F27</f>
        <v>23640</v>
      </c>
      <c r="L58" s="217"/>
      <c r="M58" s="220"/>
    </row>
    <row r="59" spans="1:18" ht="4.5" customHeight="1">
      <c r="H59" s="103"/>
      <c r="J59" s="217"/>
      <c r="K59" s="222"/>
      <c r="L59" s="217"/>
      <c r="M59" s="220"/>
    </row>
    <row r="60" spans="1:18" s="117" customFormat="1" ht="21" customHeight="1" thickBot="1">
      <c r="B60" s="116" t="s">
        <v>829</v>
      </c>
      <c r="F60" s="432">
        <v>5</v>
      </c>
      <c r="G60" s="433" t="e">
        <f>+G58+G56</f>
        <v>#REF!</v>
      </c>
      <c r="H60" s="434"/>
      <c r="I60" s="435" t="e">
        <f>+I58+I56</f>
        <v>#REF!</v>
      </c>
      <c r="J60" s="436"/>
      <c r="K60" s="437">
        <f>+K58</f>
        <v>23640</v>
      </c>
      <c r="L60" s="438"/>
      <c r="M60" s="439">
        <f>+K60</f>
        <v>23640</v>
      </c>
      <c r="N60" s="109"/>
    </row>
    <row r="61" spans="1:18" s="112" customFormat="1" ht="9.75" customHeight="1" thickTop="1">
      <c r="B61" s="95"/>
      <c r="C61" s="95"/>
      <c r="D61" s="95"/>
      <c r="E61" s="95"/>
      <c r="F61" s="172"/>
      <c r="G61" s="121"/>
      <c r="H61" s="95"/>
      <c r="I61" s="131"/>
      <c r="J61" s="129" t="str">
        <f>+J44</f>
        <v>Net impact</v>
      </c>
      <c r="K61" s="144">
        <f>+K58-M50</f>
        <v>-8575</v>
      </c>
      <c r="L61" s="223"/>
      <c r="M61" s="129"/>
      <c r="N61" s="129"/>
      <c r="O61" s="95"/>
      <c r="P61" s="95"/>
      <c r="Q61" s="95"/>
      <c r="R61" s="95"/>
    </row>
    <row r="62" spans="1:18" s="114" customFormat="1" ht="9.75" customHeight="1">
      <c r="A62" s="464"/>
      <c r="B62" s="100"/>
      <c r="C62" s="104"/>
      <c r="D62" s="104"/>
      <c r="E62" s="104"/>
      <c r="F62" s="224"/>
      <c r="G62" s="104"/>
      <c r="H62" s="104"/>
      <c r="I62" s="99"/>
      <c r="J62" s="155"/>
      <c r="K62" s="139"/>
      <c r="O62" s="112"/>
      <c r="P62" s="112"/>
      <c r="Q62" s="112"/>
      <c r="R62" s="112"/>
    </row>
    <row r="63" spans="1:18" s="114" customFormat="1">
      <c r="A63" s="464"/>
      <c r="B63" s="95" t="str">
        <f>UHF!A57</f>
        <v>The annexed notes from 1 to 19 form an integral part of these condensed interim financial statements.</v>
      </c>
      <c r="C63" s="104"/>
      <c r="D63" s="104"/>
      <c r="E63" s="104"/>
      <c r="F63" s="224"/>
      <c r="G63" s="104"/>
      <c r="H63" s="104"/>
      <c r="I63" s="99"/>
      <c r="J63" s="155"/>
      <c r="K63" s="139"/>
      <c r="O63" s="112"/>
      <c r="P63" s="112"/>
      <c r="Q63" s="112"/>
      <c r="R63" s="112"/>
    </row>
    <row r="64" spans="1:18" s="114" customFormat="1" ht="9" customHeight="1">
      <c r="A64" s="464"/>
      <c r="B64" s="95"/>
      <c r="C64" s="104"/>
      <c r="D64" s="104"/>
      <c r="E64" s="104"/>
      <c r="F64" s="224"/>
      <c r="G64" s="104"/>
      <c r="H64" s="104"/>
      <c r="I64" s="99"/>
      <c r="J64" s="155"/>
      <c r="K64" s="139"/>
    </row>
    <row r="65" spans="1:18" s="114" customFormat="1">
      <c r="A65" s="464"/>
      <c r="B65" s="100"/>
      <c r="C65" s="104"/>
      <c r="D65" s="104"/>
      <c r="E65" s="104"/>
      <c r="F65" s="224"/>
      <c r="G65" s="104"/>
      <c r="H65" s="104"/>
      <c r="I65" s="99"/>
      <c r="J65" s="155"/>
      <c r="K65" s="139"/>
    </row>
    <row r="66" spans="1:18" s="114" customFormat="1">
      <c r="A66" s="464"/>
      <c r="B66" s="2913" t="s">
        <v>703</v>
      </c>
      <c r="C66" s="2913"/>
      <c r="D66" s="2913"/>
      <c r="E66" s="2913"/>
      <c r="F66" s="2913"/>
      <c r="G66" s="2913"/>
      <c r="H66" s="2913"/>
      <c r="I66" s="2913"/>
      <c r="J66" s="136"/>
      <c r="K66" s="139"/>
    </row>
    <row r="67" spans="1:18" s="112" customFormat="1">
      <c r="B67" s="2913" t="s">
        <v>704</v>
      </c>
      <c r="C67" s="2913"/>
      <c r="D67" s="2913"/>
      <c r="E67" s="2913"/>
      <c r="F67" s="2913"/>
      <c r="G67" s="2913"/>
      <c r="H67" s="2913"/>
      <c r="I67" s="2913"/>
      <c r="J67" s="136"/>
      <c r="K67" s="132"/>
      <c r="O67" s="114"/>
      <c r="P67" s="114"/>
      <c r="Q67" s="114"/>
      <c r="R67" s="114"/>
    </row>
    <row r="68" spans="1:18" s="112" customFormat="1">
      <c r="B68" s="225"/>
      <c r="C68" s="225"/>
      <c r="D68" s="225"/>
      <c r="E68" s="225"/>
      <c r="F68" s="225"/>
      <c r="G68" s="225"/>
      <c r="H68" s="225"/>
      <c r="I68" s="130"/>
      <c r="J68" s="136"/>
      <c r="K68" s="132"/>
      <c r="O68" s="114"/>
      <c r="P68" s="114"/>
      <c r="Q68" s="114"/>
      <c r="R68" s="114"/>
    </row>
    <row r="69" spans="1:18" s="112" customFormat="1">
      <c r="B69" s="226"/>
      <c r="C69" s="226"/>
      <c r="D69" s="226"/>
      <c r="E69" s="226"/>
      <c r="F69" s="227"/>
      <c r="G69" s="226"/>
      <c r="H69" s="226"/>
      <c r="I69" s="228"/>
      <c r="J69" s="229"/>
      <c r="K69" s="132"/>
    </row>
    <row r="70" spans="1:18" s="112" customFormat="1" ht="12.75" customHeight="1">
      <c r="B70" s="2896" t="s">
        <v>830</v>
      </c>
      <c r="C70" s="2896"/>
      <c r="D70" s="2896"/>
      <c r="E70" s="2896"/>
      <c r="F70" s="2896"/>
      <c r="G70" s="2896"/>
      <c r="H70" s="2896"/>
      <c r="I70" s="2896"/>
      <c r="J70" s="229"/>
      <c r="K70" s="132"/>
    </row>
    <row r="71" spans="1:18" s="112" customFormat="1">
      <c r="B71" s="95"/>
      <c r="C71" s="95"/>
      <c r="D71" s="95"/>
      <c r="E71" s="95"/>
      <c r="F71" s="172"/>
      <c r="G71" s="230">
        <f>BS!$F$11</f>
        <v>368828</v>
      </c>
      <c r="H71" s="231"/>
      <c r="I71" s="230">
        <f>BS!$H$11</f>
        <v>156989</v>
      </c>
      <c r="J71" s="151"/>
      <c r="K71" s="147"/>
      <c r="L71" s="151"/>
      <c r="M71" s="151"/>
      <c r="N71" s="151"/>
    </row>
    <row r="72" spans="1:18" s="112" customFormat="1">
      <c r="B72" s="95"/>
      <c r="C72" s="95"/>
      <c r="D72" s="95"/>
      <c r="E72" s="95"/>
      <c r="F72" s="172"/>
      <c r="G72" s="230" t="e">
        <f>G71-G60</f>
        <v>#REF!</v>
      </c>
      <c r="H72" s="230"/>
      <c r="I72" s="232" t="e">
        <f>I71-I60</f>
        <v>#REF!</v>
      </c>
      <c r="J72" s="151"/>
      <c r="K72" s="147"/>
      <c r="L72" s="151"/>
      <c r="M72" s="151"/>
      <c r="N72" s="151"/>
    </row>
    <row r="73" spans="1:18" s="112" customFormat="1">
      <c r="B73" s="95"/>
      <c r="C73" s="95"/>
      <c r="D73" s="95"/>
      <c r="E73" s="95"/>
      <c r="F73" s="172"/>
      <c r="G73" s="121"/>
      <c r="H73" s="95"/>
      <c r="I73" s="122"/>
      <c r="J73" s="151"/>
      <c r="K73" s="147"/>
      <c r="L73" s="151"/>
      <c r="M73" s="151"/>
      <c r="N73" s="151"/>
    </row>
    <row r="74" spans="1:18" s="112" customFormat="1">
      <c r="B74" s="95"/>
      <c r="C74" s="95"/>
      <c r="D74" s="95"/>
      <c r="E74" s="95"/>
      <c r="F74" s="172"/>
      <c r="G74" s="121"/>
      <c r="H74" s="95"/>
      <c r="I74" s="122"/>
      <c r="J74" s="151"/>
      <c r="K74" s="147"/>
      <c r="L74" s="151"/>
      <c r="M74" s="151"/>
      <c r="N74" s="151"/>
    </row>
    <row r="75" spans="1:18" s="112" customFormat="1">
      <c r="B75" s="95"/>
      <c r="C75" s="95"/>
      <c r="D75" s="95"/>
      <c r="E75" s="95"/>
      <c r="F75" s="172"/>
      <c r="G75" s="121"/>
      <c r="H75" s="95"/>
      <c r="I75" s="122"/>
      <c r="J75" s="151"/>
      <c r="K75" s="147"/>
      <c r="L75" s="151"/>
      <c r="M75" s="151"/>
      <c r="N75" s="151"/>
    </row>
    <row r="76" spans="1:18" s="112" customFormat="1">
      <c r="B76" s="95"/>
      <c r="C76" s="95"/>
      <c r="D76" s="95"/>
      <c r="E76" s="95"/>
      <c r="F76" s="172"/>
      <c r="G76" s="121"/>
      <c r="H76" s="95"/>
      <c r="I76" s="122"/>
      <c r="J76" s="151"/>
      <c r="K76" s="147"/>
      <c r="L76" s="151"/>
      <c r="M76" s="151"/>
      <c r="N76" s="151"/>
    </row>
    <row r="77" spans="1:18" s="112" customFormat="1">
      <c r="B77" s="95"/>
      <c r="C77" s="95"/>
      <c r="D77" s="95"/>
      <c r="E77" s="95"/>
      <c r="F77" s="172"/>
      <c r="G77" s="121"/>
      <c r="H77" s="95"/>
      <c r="I77" s="122"/>
      <c r="J77" s="151"/>
      <c r="K77" s="147"/>
      <c r="L77" s="151"/>
      <c r="M77" s="151"/>
      <c r="N77" s="151"/>
    </row>
    <row r="78" spans="1:18">
      <c r="O78" s="112"/>
      <c r="P78" s="112"/>
      <c r="Q78" s="112"/>
      <c r="R78" s="112"/>
    </row>
    <row r="79" spans="1:18">
      <c r="O79" s="112"/>
      <c r="P79" s="112"/>
      <c r="Q79" s="112"/>
      <c r="R79" s="112"/>
    </row>
    <row r="80" spans="1:18">
      <c r="G80" s="233"/>
    </row>
    <row r="81" spans="7:18">
      <c r="G81" s="233"/>
    </row>
    <row r="82" spans="7:18">
      <c r="G82" s="233"/>
    </row>
    <row r="83" spans="7:18">
      <c r="G83" s="233"/>
    </row>
    <row r="84" spans="7:18">
      <c r="G84" s="233"/>
    </row>
    <row r="85" spans="7:18">
      <c r="G85" s="233"/>
    </row>
    <row r="86" spans="7:18">
      <c r="G86" s="233"/>
    </row>
    <row r="87" spans="7:18">
      <c r="G87" s="233"/>
    </row>
    <row r="88" spans="7:18">
      <c r="G88" s="233"/>
    </row>
    <row r="90" spans="7:18">
      <c r="O90" s="122"/>
    </row>
    <row r="91" spans="7:18">
      <c r="L91" s="234"/>
      <c r="M91" s="234"/>
      <c r="N91" s="234"/>
    </row>
    <row r="93" spans="7:18">
      <c r="O93" s="234"/>
      <c r="P93" s="234"/>
      <c r="Q93" s="234"/>
      <c r="R93" s="234"/>
    </row>
    <row r="95" spans="7:18">
      <c r="L95" s="2897"/>
      <c r="M95" s="2897"/>
      <c r="N95" s="234"/>
    </row>
    <row r="96" spans="7:18">
      <c r="L96" s="2897"/>
      <c r="M96" s="2897"/>
      <c r="N96" s="234"/>
    </row>
    <row r="97" spans="12:15">
      <c r="L97" s="235"/>
      <c r="M97" s="235"/>
      <c r="N97" s="235"/>
      <c r="O97" s="234"/>
    </row>
    <row r="98" spans="12:15">
      <c r="O98" s="234"/>
    </row>
    <row r="99" spans="12:15">
      <c r="O99" s="235"/>
    </row>
  </sheetData>
  <mergeCells count="16">
    <mergeCell ref="AK2:AN2"/>
    <mergeCell ref="AP2:AS2"/>
    <mergeCell ref="B70:I70"/>
    <mergeCell ref="L95:M96"/>
    <mergeCell ref="J2:M2"/>
    <mergeCell ref="O2:R2"/>
    <mergeCell ref="G6:I6"/>
    <mergeCell ref="J23:M23"/>
    <mergeCell ref="J36:M36"/>
    <mergeCell ref="J48:M48"/>
    <mergeCell ref="AA2:AD2"/>
    <mergeCell ref="AF2:AI2"/>
    <mergeCell ref="V2:Y2"/>
    <mergeCell ref="B66:I66"/>
    <mergeCell ref="B67:I67"/>
    <mergeCell ref="V17:Y17"/>
  </mergeCells>
  <pageMargins left="0.75" right="0.39" top="0.55000000000000004" bottom="0.12" header="0.4" footer="0.17"/>
  <pageSetup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Y83"/>
  <sheetViews>
    <sheetView view="pageBreakPreview" zoomScaleNormal="100" zoomScaleSheetLayoutView="100" workbookViewId="0">
      <selection activeCell="AB18" sqref="AB17:AB18"/>
    </sheetView>
  </sheetViews>
  <sheetFormatPr defaultColWidth="36.5" defaultRowHeight="12"/>
  <cols>
    <col min="1" max="1" width="5.125" style="1692" customWidth="1"/>
    <col min="2" max="2" width="3.625" style="1692" customWidth="1"/>
    <col min="3" max="3" width="29.25" style="1692" customWidth="1"/>
    <col min="4" max="4" width="10" style="2584" customWidth="1"/>
    <col min="5" max="5" width="12.875" style="2584" customWidth="1"/>
    <col min="6" max="6" width="8.125" style="2584" hidden="1" customWidth="1"/>
    <col min="7" max="7" width="8.375" style="2584" bestFit="1" customWidth="1"/>
    <col min="8" max="8" width="0.625" style="2532" customWidth="1"/>
    <col min="9" max="9" width="10.5" style="2532" hidden="1" customWidth="1"/>
    <col min="10" max="11" width="12" style="1692" hidden="1" customWidth="1"/>
    <col min="12" max="12" width="9.5" style="1692" bestFit="1" customWidth="1"/>
    <col min="13" max="13" width="10.5" style="1732" customWidth="1"/>
    <col min="14" max="14" width="11" style="1732" hidden="1" customWidth="1"/>
    <col min="15" max="15" width="8.375" style="1732" bestFit="1" customWidth="1"/>
    <col min="16" max="16" width="8.625" style="1732" hidden="1" customWidth="1"/>
    <col min="17" max="17" width="17.625" style="1732" hidden="1" customWidth="1"/>
    <col min="18" max="18" width="16.625" style="1732" hidden="1" customWidth="1"/>
    <col min="19" max="19" width="11.375" style="1732" hidden="1" customWidth="1"/>
    <col min="20" max="20" width="23" style="1692" hidden="1" customWidth="1"/>
    <col min="21" max="21" width="25.5" style="1692" hidden="1" customWidth="1"/>
    <col min="22" max="22" width="17.75" style="1692" hidden="1" customWidth="1"/>
    <col min="23" max="23" width="18.875" style="1692" hidden="1" customWidth="1"/>
    <col min="24" max="25" width="36.5" style="1692" hidden="1" customWidth="1"/>
    <col min="26" max="27" width="0" style="1692" hidden="1" customWidth="1"/>
    <col min="28" max="16384" width="36.5" style="1692"/>
  </cols>
  <sheetData>
    <row r="1" spans="1:24">
      <c r="A1" s="1694" t="s">
        <v>671</v>
      </c>
      <c r="D1" s="1694"/>
      <c r="E1" s="1694"/>
      <c r="F1" s="1694"/>
      <c r="G1" s="1694"/>
      <c r="H1" s="1692"/>
      <c r="I1" s="1692"/>
    </row>
    <row r="2" spans="1:24">
      <c r="A2" s="1694" t="s">
        <v>1964</v>
      </c>
      <c r="D2" s="1694"/>
      <c r="E2" s="1694"/>
      <c r="F2" s="1694"/>
      <c r="G2" s="1694"/>
      <c r="H2" s="1692"/>
      <c r="I2" s="1692"/>
    </row>
    <row r="3" spans="1:24">
      <c r="A3" s="1859" t="s">
        <v>2473</v>
      </c>
      <c r="D3" s="1694"/>
      <c r="E3" s="1694"/>
      <c r="F3" s="1694"/>
      <c r="G3" s="1694"/>
      <c r="H3" s="1692"/>
      <c r="I3" s="1692"/>
    </row>
    <row r="4" spans="1:24">
      <c r="A4" s="1859"/>
      <c r="D4" s="1694"/>
      <c r="E4" s="1694"/>
      <c r="F4" s="1694"/>
      <c r="G4" s="1694"/>
      <c r="H4" s="1692"/>
      <c r="I4" s="1692"/>
    </row>
    <row r="5" spans="1:24" s="1918" customFormat="1">
      <c r="D5" s="2915" t="s">
        <v>2277</v>
      </c>
      <c r="E5" s="2915"/>
      <c r="F5" s="2915"/>
      <c r="G5" s="2915"/>
      <c r="H5" s="2915"/>
      <c r="I5" s="2915"/>
      <c r="J5" s="2915"/>
      <c r="K5" s="2915"/>
      <c r="L5" s="2915"/>
      <c r="M5" s="2915"/>
      <c r="N5" s="2915"/>
      <c r="O5" s="2915"/>
      <c r="P5" s="1915"/>
      <c r="Q5" s="1915"/>
      <c r="R5" s="1915"/>
      <c r="S5" s="1915"/>
    </row>
    <row r="6" spans="1:24" ht="22.5" customHeight="1">
      <c r="D6" s="2917" t="s">
        <v>2472</v>
      </c>
      <c r="E6" s="2918"/>
      <c r="F6" s="2918"/>
      <c r="G6" s="2918"/>
      <c r="H6" s="2918"/>
      <c r="I6" s="1681"/>
      <c r="J6" s="1681"/>
      <c r="K6" s="1681"/>
      <c r="L6" s="2917" t="s">
        <v>2279</v>
      </c>
      <c r="M6" s="2917"/>
      <c r="N6" s="2917"/>
      <c r="O6" s="2917"/>
      <c r="P6" s="2513"/>
    </row>
    <row r="7" spans="1:24" ht="12.75" thickBot="1">
      <c r="A7" s="1694"/>
      <c r="D7" s="2916" t="s">
        <v>2100</v>
      </c>
      <c r="E7" s="2916"/>
      <c r="F7" s="2916"/>
      <c r="G7" s="2916"/>
      <c r="H7" s="2916"/>
      <c r="I7" s="2916"/>
      <c r="J7" s="2916"/>
      <c r="K7" s="2916"/>
      <c r="L7" s="2916"/>
      <c r="M7" s="2916"/>
      <c r="N7" s="2916"/>
      <c r="O7" s="2916"/>
    </row>
    <row r="8" spans="1:24" s="2275" customFormat="1" ht="12" customHeight="1" thickBot="1">
      <c r="D8" s="2919" t="s">
        <v>1593</v>
      </c>
      <c r="E8" s="2919" t="s">
        <v>2110</v>
      </c>
      <c r="F8" s="2919" t="s">
        <v>2132</v>
      </c>
      <c r="G8" s="2919" t="s">
        <v>681</v>
      </c>
      <c r="H8" s="2514"/>
      <c r="I8" s="2515" t="s">
        <v>1593</v>
      </c>
      <c r="J8" s="2515" t="s">
        <v>1594</v>
      </c>
      <c r="K8" s="2516" t="s">
        <v>1595</v>
      </c>
      <c r="L8" s="2919" t="s">
        <v>1593</v>
      </c>
      <c r="M8" s="2919" t="s">
        <v>2110</v>
      </c>
      <c r="N8" s="2919" t="s">
        <v>2133</v>
      </c>
      <c r="O8" s="2919" t="s">
        <v>681</v>
      </c>
      <c r="P8" s="2517"/>
      <c r="Q8" s="2517"/>
      <c r="R8" s="2517"/>
      <c r="S8" s="2517"/>
      <c r="T8" s="1794"/>
      <c r="U8" s="1794"/>
      <c r="V8" s="1794"/>
      <c r="W8" s="1794"/>
      <c r="X8" s="1794"/>
    </row>
    <row r="9" spans="1:24" s="2510" customFormat="1">
      <c r="D9" s="2920"/>
      <c r="E9" s="2920"/>
      <c r="F9" s="2920"/>
      <c r="G9" s="2920"/>
      <c r="H9" s="2518"/>
      <c r="I9" s="2519"/>
      <c r="J9" s="2519"/>
      <c r="K9" s="2519"/>
      <c r="L9" s="2920"/>
      <c r="M9" s="2920"/>
      <c r="N9" s="2920"/>
      <c r="O9" s="2920"/>
      <c r="P9" s="2509"/>
      <c r="Q9" s="2509"/>
      <c r="R9" s="2509"/>
      <c r="S9" s="2509"/>
      <c r="T9" s="1694"/>
      <c r="U9" s="1694"/>
      <c r="V9" s="1694"/>
      <c r="W9" s="1694"/>
      <c r="X9" s="1694"/>
    </row>
    <row r="10" spans="1:24" s="2510" customFormat="1">
      <c r="D10" s="2920"/>
      <c r="E10" s="2920"/>
      <c r="F10" s="2920"/>
      <c r="G10" s="2920"/>
      <c r="H10" s="2518"/>
      <c r="I10" s="2519"/>
      <c r="J10" s="2519"/>
      <c r="K10" s="2519"/>
      <c r="L10" s="2920"/>
      <c r="M10" s="2920"/>
      <c r="N10" s="2920"/>
      <c r="O10" s="2920"/>
      <c r="P10" s="2509"/>
      <c r="Q10" s="2509"/>
      <c r="R10" s="2509"/>
      <c r="S10" s="2509"/>
      <c r="T10" s="1694"/>
      <c r="U10" s="1694"/>
      <c r="V10" s="1694"/>
      <c r="W10" s="1694"/>
      <c r="X10" s="1694"/>
    </row>
    <row r="11" spans="1:24" s="2510" customFormat="1">
      <c r="D11" s="2920"/>
      <c r="E11" s="2920"/>
      <c r="F11" s="2920"/>
      <c r="G11" s="2920"/>
      <c r="H11" s="2518"/>
      <c r="I11" s="2519"/>
      <c r="J11" s="2519"/>
      <c r="K11" s="2519"/>
      <c r="L11" s="2920"/>
      <c r="M11" s="2920"/>
      <c r="N11" s="2920"/>
      <c r="O11" s="2920"/>
      <c r="P11" s="2509"/>
      <c r="Q11" s="2509"/>
      <c r="R11" s="2509"/>
      <c r="S11" s="2509"/>
      <c r="T11" s="1694"/>
      <c r="U11" s="1694"/>
      <c r="V11" s="1694"/>
      <c r="W11" s="1694"/>
      <c r="X11" s="1694"/>
    </row>
    <row r="12" spans="1:24" s="2510" customFormat="1" ht="33" customHeight="1">
      <c r="D12" s="2921"/>
      <c r="E12" s="2921"/>
      <c r="F12" s="2921"/>
      <c r="G12" s="2921"/>
      <c r="H12" s="2518"/>
      <c r="I12" s="2519"/>
      <c r="J12" s="2519"/>
      <c r="K12" s="2519"/>
      <c r="L12" s="2921"/>
      <c r="M12" s="2921"/>
      <c r="N12" s="2921"/>
      <c r="O12" s="2921"/>
      <c r="P12" s="2509"/>
      <c r="Q12" s="2509"/>
      <c r="R12" s="2509"/>
      <c r="S12" s="2509"/>
      <c r="T12" s="1694"/>
      <c r="U12" s="1694"/>
      <c r="V12" s="1694"/>
      <c r="W12" s="1694"/>
      <c r="X12" s="1694"/>
    </row>
    <row r="13" spans="1:24" s="2508" customFormat="1">
      <c r="D13" s="2520"/>
      <c r="E13" s="2520"/>
      <c r="F13" s="2520"/>
      <c r="G13" s="2520"/>
      <c r="H13" s="2521"/>
      <c r="I13" s="2522"/>
      <c r="J13" s="2522"/>
      <c r="K13" s="2522"/>
      <c r="L13" s="2520"/>
      <c r="M13" s="2520"/>
      <c r="N13" s="2520"/>
      <c r="O13" s="2520"/>
      <c r="P13" s="2523"/>
      <c r="Q13" s="2523"/>
      <c r="R13" s="2523"/>
      <c r="S13" s="2523"/>
      <c r="T13" s="2306"/>
      <c r="U13" s="2306"/>
      <c r="V13" s="2306"/>
      <c r="W13" s="2306"/>
      <c r="X13" s="2306"/>
    </row>
    <row r="14" spans="1:24">
      <c r="A14" s="1694" t="s">
        <v>1955</v>
      </c>
      <c r="D14" s="2524">
        <v>526749</v>
      </c>
      <c r="E14" s="2524">
        <v>102847</v>
      </c>
      <c r="F14" s="2524">
        <v>629596</v>
      </c>
      <c r="G14" s="2524">
        <v>629596</v>
      </c>
      <c r="H14" s="2525"/>
      <c r="I14" s="2525">
        <v>493119</v>
      </c>
      <c r="J14" s="2525">
        <v>102828</v>
      </c>
      <c r="K14" s="2525">
        <v>8060</v>
      </c>
      <c r="L14" s="2525">
        <v>604007</v>
      </c>
      <c r="M14" s="2526">
        <v>102828</v>
      </c>
      <c r="N14" s="2527">
        <v>0</v>
      </c>
      <c r="O14" s="2528">
        <v>706835</v>
      </c>
      <c r="P14" s="2512"/>
      <c r="Q14" s="2311"/>
      <c r="R14" s="2311"/>
    </row>
    <row r="15" spans="1:24">
      <c r="D15" s="2524"/>
      <c r="E15" s="2524"/>
      <c r="F15" s="2524"/>
      <c r="G15" s="2524"/>
      <c r="H15" s="2526"/>
      <c r="I15" s="2525"/>
      <c r="J15" s="2525"/>
      <c r="K15" s="2525"/>
      <c r="L15" s="2525"/>
      <c r="M15" s="2531"/>
      <c r="N15" s="2531"/>
      <c r="O15" s="2531"/>
      <c r="Q15" s="1732">
        <v>24176125.674699999</v>
      </c>
      <c r="T15" s="1692" t="s">
        <v>1977</v>
      </c>
      <c r="U15" s="1692" t="s">
        <v>1978</v>
      </c>
      <c r="V15" s="1692" t="s">
        <v>1980</v>
      </c>
      <c r="W15" s="2532">
        <f>W16/1000</f>
        <v>281176.64679019758</v>
      </c>
    </row>
    <row r="16" spans="1:24">
      <c r="A16" s="1692" t="s">
        <v>2515</v>
      </c>
      <c r="D16" s="2524"/>
      <c r="E16" s="2524"/>
      <c r="F16" s="2524"/>
      <c r="G16" s="2524"/>
      <c r="H16" s="2526"/>
      <c r="I16" s="2525"/>
      <c r="J16" s="2525"/>
      <c r="K16" s="2525"/>
      <c r="L16" s="2525"/>
      <c r="M16" s="2531"/>
      <c r="N16" s="2531"/>
      <c r="O16" s="2531"/>
      <c r="Q16" s="2533">
        <f>21353751-29672572</f>
        <v>-8318821</v>
      </c>
      <c r="T16" s="2534">
        <v>5216490.2050999999</v>
      </c>
      <c r="U16" s="2382">
        <f>283415197.57/1000</f>
        <v>283415.19757000002</v>
      </c>
      <c r="V16" s="2535">
        <f>V19</f>
        <v>53.901499999999999</v>
      </c>
      <c r="W16" s="1692">
        <f>T16*V16</f>
        <v>281176646.79019761</v>
      </c>
      <c r="X16" s="2382">
        <f>+U16-W15</f>
        <v>2238.5507798024337</v>
      </c>
    </row>
    <row r="17" spans="1:24">
      <c r="A17" s="2542" t="s">
        <v>2278</v>
      </c>
      <c r="D17" s="2524"/>
      <c r="E17" s="2524"/>
      <c r="F17" s="2524"/>
      <c r="G17" s="2524"/>
      <c r="H17" s="2526"/>
      <c r="I17" s="2525"/>
      <c r="J17" s="2525"/>
      <c r="K17" s="2525"/>
      <c r="L17" s="2525"/>
      <c r="M17" s="2531"/>
      <c r="N17" s="2531"/>
      <c r="O17" s="2531"/>
      <c r="Q17" s="2533"/>
      <c r="T17" s="2534"/>
      <c r="U17" s="2382"/>
      <c r="V17" s="2535"/>
      <c r="X17" s="2382"/>
    </row>
    <row r="18" spans="1:24">
      <c r="A18" s="2536" t="s">
        <v>1596</v>
      </c>
      <c r="D18" s="2537"/>
      <c r="E18" s="2537"/>
      <c r="F18" s="2537"/>
      <c r="G18" s="2537"/>
      <c r="H18" s="2526"/>
      <c r="I18" s="2525"/>
      <c r="J18" s="2525"/>
      <c r="K18" s="2525"/>
      <c r="L18" s="2538"/>
      <c r="M18" s="2539"/>
      <c r="N18" s="2540"/>
      <c r="O18" s="2540"/>
      <c r="P18" s="2541"/>
      <c r="Q18" s="2541">
        <f>Q15+Q16</f>
        <v>15857304.674699999</v>
      </c>
      <c r="R18" s="2541"/>
      <c r="T18" s="1692" t="s">
        <v>1979</v>
      </c>
    </row>
    <row r="19" spans="1:24">
      <c r="A19" s="2542" t="s">
        <v>1981</v>
      </c>
      <c r="D19" s="2543">
        <v>392363</v>
      </c>
      <c r="E19" s="2543">
        <v>0</v>
      </c>
      <c r="F19" s="2543">
        <v>0</v>
      </c>
      <c r="G19" s="2543">
        <v>392363</v>
      </c>
      <c r="H19" s="2526"/>
      <c r="I19" s="2525"/>
      <c r="J19" s="2525"/>
      <c r="K19" s="2525"/>
      <c r="L19" s="2544">
        <v>281139</v>
      </c>
      <c r="M19" s="2544">
        <v>0</v>
      </c>
      <c r="N19" s="2544">
        <v>0</v>
      </c>
      <c r="O19" s="2544">
        <v>281139</v>
      </c>
      <c r="P19" s="2545"/>
      <c r="Q19" s="1868"/>
      <c r="R19" s="2546"/>
      <c r="T19" s="2382">
        <v>4059102.5754</v>
      </c>
      <c r="U19" s="2382">
        <f>219304866.88/1000</f>
        <v>219304.86687999999</v>
      </c>
      <c r="V19" s="2535">
        <f>BS!H43</f>
        <v>53.901499999999999</v>
      </c>
      <c r="W19" s="1692">
        <f>T19*V19</f>
        <v>218791717.4679231</v>
      </c>
      <c r="X19" s="2382">
        <f>W20-U19</f>
        <v>-513.14941207689117</v>
      </c>
    </row>
    <row r="20" spans="1:24">
      <c r="A20" s="2536" t="s">
        <v>1602</v>
      </c>
      <c r="D20" s="2547">
        <v>6916.907841879176</v>
      </c>
      <c r="E20" s="2547">
        <v>0</v>
      </c>
      <c r="F20" s="2547">
        <v>0</v>
      </c>
      <c r="G20" s="2547">
        <v>6916.907841879176</v>
      </c>
      <c r="H20" s="2526"/>
      <c r="I20" s="2525"/>
      <c r="J20" s="2525"/>
      <c r="K20" s="2525"/>
      <c r="L20" s="2548">
        <v>2276.1975700000185</v>
      </c>
      <c r="M20" s="2548">
        <v>0</v>
      </c>
      <c r="N20" s="2548">
        <v>0</v>
      </c>
      <c r="O20" s="2548">
        <v>2276.1975700000185</v>
      </c>
      <c r="Q20" s="1733"/>
      <c r="W20" s="2549">
        <f>W19/1000</f>
        <v>218791.7174679231</v>
      </c>
    </row>
    <row r="21" spans="1:24">
      <c r="D21" s="2550">
        <v>399279.90784187918</v>
      </c>
      <c r="E21" s="2551">
        <v>0</v>
      </c>
      <c r="F21" s="2551">
        <v>0</v>
      </c>
      <c r="G21" s="2550">
        <v>399279.90784187918</v>
      </c>
      <c r="H21" s="2526"/>
      <c r="I21" s="2552">
        <v>2489582</v>
      </c>
      <c r="J21" s="2552">
        <v>0</v>
      </c>
      <c r="K21" s="2552">
        <v>0</v>
      </c>
      <c r="L21" s="2552">
        <v>283415.19757000002</v>
      </c>
      <c r="M21" s="2531">
        <v>0</v>
      </c>
      <c r="N21" s="2531">
        <v>0</v>
      </c>
      <c r="O21" s="2552">
        <v>283415.19757000002</v>
      </c>
      <c r="Q21" s="1733"/>
      <c r="T21" s="2553">
        <f>BS!H38+'UHF-NEW'!T16-'UHF-NEW'!T19</f>
        <v>12837889.629699999</v>
      </c>
    </row>
    <row r="22" spans="1:24" ht="10.5" customHeight="1">
      <c r="D22" s="2550"/>
      <c r="E22" s="2550"/>
      <c r="F22" s="2550"/>
      <c r="G22" s="2550"/>
      <c r="H22" s="2526"/>
      <c r="I22" s="2526"/>
      <c r="J22" s="2526"/>
      <c r="K22" s="2526"/>
      <c r="L22" s="2526"/>
      <c r="M22" s="2531"/>
      <c r="N22" s="2531"/>
      <c r="O22" s="2531"/>
      <c r="Q22" s="1733"/>
      <c r="T22" s="1692">
        <f>BS!F38</f>
        <v>16759933.892700002</v>
      </c>
    </row>
    <row r="23" spans="1:24" ht="10.5" customHeight="1">
      <c r="A23" s="1692" t="s">
        <v>2516</v>
      </c>
      <c r="D23" s="2550"/>
      <c r="E23" s="2550"/>
      <c r="F23" s="2550"/>
      <c r="G23" s="2550"/>
      <c r="H23" s="2526"/>
      <c r="I23" s="2526"/>
      <c r="J23" s="2526"/>
      <c r="K23" s="2526"/>
      <c r="L23" s="2526"/>
      <c r="M23" s="2531"/>
      <c r="N23" s="2531"/>
      <c r="O23" s="2531"/>
      <c r="Q23" s="1733"/>
      <c r="T23" s="2553">
        <f>T22-T21</f>
        <v>3922044.2630000021</v>
      </c>
      <c r="V23" s="2382">
        <f>U16-U19</f>
        <v>64110.330690000032</v>
      </c>
    </row>
    <row r="24" spans="1:24">
      <c r="A24" s="2536" t="s">
        <v>1596</v>
      </c>
      <c r="D24" s="2537"/>
      <c r="E24" s="2537"/>
      <c r="F24" s="2537"/>
      <c r="G24" s="2537"/>
      <c r="H24" s="2526"/>
      <c r="I24" s="2525"/>
      <c r="J24" s="2525"/>
      <c r="K24" s="2525"/>
      <c r="L24" s="2538"/>
      <c r="M24" s="2539"/>
      <c r="N24" s="2540"/>
      <c r="O24" s="2540"/>
      <c r="P24" s="2507"/>
      <c r="Q24" s="1796">
        <v>24176125.674699999</v>
      </c>
      <c r="R24" s="2541"/>
    </row>
    <row r="25" spans="1:24">
      <c r="A25" s="2554" t="s">
        <v>1981</v>
      </c>
      <c r="D25" s="2543">
        <v>-118574.21119375181</v>
      </c>
      <c r="E25" s="2543">
        <v>0</v>
      </c>
      <c r="F25" s="2543">
        <v>0</v>
      </c>
      <c r="G25" s="2543">
        <v>-118574.21119375181</v>
      </c>
      <c r="H25" s="2526"/>
      <c r="I25" s="2525"/>
      <c r="J25" s="2525"/>
      <c r="K25" s="2525"/>
      <c r="L25" s="2544">
        <v>-218762.08601912265</v>
      </c>
      <c r="M25" s="2544">
        <v>0</v>
      </c>
      <c r="N25" s="2544">
        <v>0</v>
      </c>
      <c r="O25" s="2544">
        <v>-218762.08601912265</v>
      </c>
      <c r="P25" s="2545"/>
      <c r="Q25" s="1868">
        <v>21353751</v>
      </c>
      <c r="R25" s="2546"/>
      <c r="S25" s="2531"/>
    </row>
    <row r="26" spans="1:24">
      <c r="A26" s="2536" t="s">
        <v>1602</v>
      </c>
      <c r="B26" s="2555"/>
      <c r="D26" s="2465">
        <v>-1044.6038662481935</v>
      </c>
      <c r="E26" s="2547">
        <v>-1059.278</v>
      </c>
      <c r="F26" s="2547">
        <v>0</v>
      </c>
      <c r="G26" s="2547">
        <v>-2103.8818662481935</v>
      </c>
      <c r="H26" s="2526"/>
      <c r="I26" s="2525"/>
      <c r="J26" s="2525"/>
      <c r="K26" s="2525"/>
      <c r="L26" s="2548">
        <v>-38.764860877333888</v>
      </c>
      <c r="M26" s="2548">
        <v>-504.01600000000002</v>
      </c>
      <c r="N26" s="2548">
        <v>0</v>
      </c>
      <c r="O26" s="2548">
        <v>-542.78086087733391</v>
      </c>
      <c r="Q26" s="1732">
        <v>-29672572</v>
      </c>
      <c r="S26" s="2531"/>
    </row>
    <row r="27" spans="1:24" hidden="1">
      <c r="A27" s="2536"/>
      <c r="B27" s="2555" t="s">
        <v>1956</v>
      </c>
      <c r="D27" s="2543">
        <v>0</v>
      </c>
      <c r="E27" s="2543">
        <v>0</v>
      </c>
      <c r="F27" s="2543"/>
      <c r="G27" s="2543">
        <v>0</v>
      </c>
      <c r="H27" s="2526"/>
      <c r="I27" s="2525"/>
      <c r="J27" s="2525"/>
      <c r="K27" s="2525"/>
      <c r="L27" s="2525">
        <v>0</v>
      </c>
      <c r="M27" s="2556">
        <v>0</v>
      </c>
      <c r="N27" s="2556"/>
      <c r="O27" s="2556">
        <v>0</v>
      </c>
    </row>
    <row r="28" spans="1:24" hidden="1">
      <c r="A28" s="2536" t="s">
        <v>1605</v>
      </c>
      <c r="D28" s="2557">
        <v>0</v>
      </c>
      <c r="E28" s="2547">
        <v>0</v>
      </c>
      <c r="F28" s="2547">
        <v>0</v>
      </c>
      <c r="G28" s="2547">
        <v>0</v>
      </c>
      <c r="H28" s="2526"/>
      <c r="I28" s="2525"/>
      <c r="J28" s="2525"/>
      <c r="K28" s="2525"/>
      <c r="L28" s="2525">
        <v>0</v>
      </c>
      <c r="M28" s="2544">
        <v>0</v>
      </c>
      <c r="N28" s="2544">
        <v>0</v>
      </c>
      <c r="O28" s="2544">
        <v>0</v>
      </c>
    </row>
    <row r="29" spans="1:24">
      <c r="D29" s="2550">
        <v>-119618.81505999999</v>
      </c>
      <c r="E29" s="2550">
        <v>-1059.278</v>
      </c>
      <c r="F29" s="2550">
        <v>0</v>
      </c>
      <c r="G29" s="2550">
        <v>-120678.09306</v>
      </c>
      <c r="H29" s="2526"/>
      <c r="I29" s="2526">
        <v>-1891291</v>
      </c>
      <c r="J29" s="2526">
        <v>0</v>
      </c>
      <c r="K29" s="2526">
        <v>0</v>
      </c>
      <c r="L29" s="2526">
        <v>-218800.85087999998</v>
      </c>
      <c r="M29" s="2526">
        <v>-504.01600000000002</v>
      </c>
      <c r="N29" s="2526">
        <v>0</v>
      </c>
      <c r="O29" s="2526">
        <v>-219304.86687999999</v>
      </c>
      <c r="Q29" s="1733">
        <f>SUM(Q24:Q28)</f>
        <v>15857304.674699999</v>
      </c>
    </row>
    <row r="30" spans="1:24">
      <c r="D30" s="2558"/>
      <c r="E30" s="2558"/>
      <c r="F30" s="2558"/>
      <c r="G30" s="2524"/>
      <c r="H30" s="2559"/>
      <c r="I30" s="2559"/>
      <c r="J30" s="2559"/>
      <c r="K30" s="2559"/>
      <c r="L30" s="2559"/>
      <c r="M30" s="2531"/>
      <c r="N30" s="2531"/>
      <c r="O30" s="2531"/>
    </row>
    <row r="31" spans="1:24" ht="15.75" hidden="1" customHeight="1">
      <c r="A31" s="2560" t="s">
        <v>1607</v>
      </c>
      <c r="D31" s="2558"/>
      <c r="E31" s="2558"/>
      <c r="F31" s="2558"/>
      <c r="G31" s="2524"/>
      <c r="H31" s="2559"/>
      <c r="I31" s="2561"/>
      <c r="J31" s="2561"/>
      <c r="K31" s="2561"/>
      <c r="L31" s="2561"/>
      <c r="M31" s="2531"/>
      <c r="N31" s="2531"/>
      <c r="O31" s="2531"/>
    </row>
    <row r="32" spans="1:24" ht="13.5" hidden="1" customHeight="1">
      <c r="A32" s="2562" t="s">
        <v>1608</v>
      </c>
      <c r="D32" s="2550">
        <v>0</v>
      </c>
      <c r="E32" s="2550">
        <v>0</v>
      </c>
      <c r="F32" s="2550">
        <v>0</v>
      </c>
      <c r="G32" s="2550">
        <v>0</v>
      </c>
      <c r="H32" s="2559"/>
      <c r="I32" s="2526">
        <v>-45768</v>
      </c>
      <c r="J32" s="2526">
        <v>34794</v>
      </c>
      <c r="K32" s="2526">
        <v>0</v>
      </c>
      <c r="L32" s="2526">
        <v>0</v>
      </c>
      <c r="M32" s="2531">
        <v>0</v>
      </c>
      <c r="N32" s="2531">
        <v>0</v>
      </c>
      <c r="O32" s="2531">
        <v>0</v>
      </c>
      <c r="Q32" s="2519"/>
      <c r="R32" s="2563"/>
    </row>
    <row r="33" spans="1:20" ht="10.5" hidden="1" customHeight="1">
      <c r="D33" s="2550"/>
      <c r="E33" s="2550"/>
      <c r="F33" s="2550"/>
      <c r="G33" s="2550"/>
      <c r="H33" s="2526"/>
      <c r="I33" s="2526"/>
      <c r="J33" s="2526"/>
      <c r="K33" s="2526"/>
      <c r="L33" s="2526"/>
      <c r="M33" s="2531"/>
      <c r="N33" s="2531"/>
      <c r="O33" s="2531"/>
    </row>
    <row r="34" spans="1:20">
      <c r="A34" s="1692" t="s">
        <v>1957</v>
      </c>
      <c r="D34" s="2564">
        <v>0</v>
      </c>
      <c r="E34" s="2564">
        <v>23459.133000000038</v>
      </c>
      <c r="F34" s="2564">
        <v>0</v>
      </c>
      <c r="G34" s="2564">
        <v>23459.133000000038</v>
      </c>
      <c r="H34" s="2526"/>
      <c r="I34" s="2556">
        <v>0</v>
      </c>
      <c r="J34" s="2556">
        <v>59121</v>
      </c>
      <c r="K34" s="2556">
        <v>-3040</v>
      </c>
      <c r="L34" s="2538">
        <v>0</v>
      </c>
      <c r="M34" s="2538">
        <v>13141.637484417481</v>
      </c>
      <c r="N34" s="2538">
        <v>0</v>
      </c>
      <c r="O34" s="2565">
        <v>13141.637484417481</v>
      </c>
      <c r="Q34" s="2566"/>
      <c r="R34" s="2566"/>
    </row>
    <row r="35" spans="1:20">
      <c r="A35" s="1757"/>
      <c r="D35" s="2547">
        <v>0</v>
      </c>
      <c r="E35" s="2547">
        <v>0</v>
      </c>
      <c r="F35" s="2547">
        <v>0</v>
      </c>
      <c r="G35" s="2547">
        <v>0</v>
      </c>
      <c r="H35" s="2526"/>
      <c r="I35" s="2548">
        <v>0</v>
      </c>
      <c r="J35" s="2548">
        <v>0</v>
      </c>
      <c r="K35" s="2548">
        <v>0</v>
      </c>
      <c r="L35" s="2547">
        <v>0</v>
      </c>
      <c r="M35" s="2547">
        <v>0</v>
      </c>
      <c r="N35" s="2547">
        <v>0</v>
      </c>
      <c r="O35" s="2567">
        <v>0</v>
      </c>
      <c r="Q35" s="2566"/>
      <c r="R35" s="2566"/>
    </row>
    <row r="36" spans="1:20">
      <c r="D36" s="2568">
        <v>0</v>
      </c>
      <c r="E36" s="2568">
        <v>23459.133000000038</v>
      </c>
      <c r="F36" s="2568">
        <v>0</v>
      </c>
      <c r="G36" s="2550">
        <v>23459.133000000038</v>
      </c>
      <c r="H36" s="2525"/>
      <c r="I36" s="2531">
        <v>0</v>
      </c>
      <c r="J36" s="2531">
        <v>59121</v>
      </c>
      <c r="K36" s="2531">
        <v>-3040</v>
      </c>
      <c r="L36" s="2531">
        <v>0</v>
      </c>
      <c r="M36" s="2531">
        <v>13141.637484417481</v>
      </c>
      <c r="N36" s="2531">
        <v>0</v>
      </c>
      <c r="O36" s="2531">
        <v>13141.637484417481</v>
      </c>
    </row>
    <row r="37" spans="1:20" ht="3.95" customHeight="1">
      <c r="D37" s="2568"/>
      <c r="E37" s="2568"/>
      <c r="F37" s="2568"/>
      <c r="G37" s="2568"/>
      <c r="H37" s="2525"/>
      <c r="I37" s="2531"/>
      <c r="J37" s="2531"/>
      <c r="K37" s="2531"/>
      <c r="L37" s="2531"/>
      <c r="M37" s="2531"/>
      <c r="N37" s="2531"/>
      <c r="O37" s="2531"/>
    </row>
    <row r="38" spans="1:20" s="1704" customFormat="1" ht="12.75" thickBot="1">
      <c r="A38" s="1922" t="s">
        <v>1958</v>
      </c>
      <c r="D38" s="2569">
        <v>806410.09278187924</v>
      </c>
      <c r="E38" s="2569">
        <v>125246.85500000004</v>
      </c>
      <c r="F38" s="2569" t="e">
        <v>#REF!</v>
      </c>
      <c r="G38" s="2569">
        <v>931656.94778187922</v>
      </c>
      <c r="H38" s="2570"/>
      <c r="I38" s="2571">
        <v>1045642</v>
      </c>
      <c r="J38" s="2571">
        <v>196743</v>
      </c>
      <c r="K38" s="2571">
        <v>5020</v>
      </c>
      <c r="L38" s="2571">
        <v>668621.34669000003</v>
      </c>
      <c r="M38" s="2571">
        <v>115465.62148441748</v>
      </c>
      <c r="N38" s="2571">
        <v>0</v>
      </c>
      <c r="O38" s="2571">
        <v>784086.45817441761</v>
      </c>
      <c r="P38" s="1573">
        <v>2036407</v>
      </c>
      <c r="Q38" s="1573">
        <v>133675</v>
      </c>
      <c r="R38" s="1573">
        <v>-3200</v>
      </c>
      <c r="S38" s="1573">
        <v>2166882</v>
      </c>
    </row>
    <row r="39" spans="1:20" ht="12.75" thickTop="1">
      <c r="A39" s="1694"/>
      <c r="D39" s="2550"/>
      <c r="E39" s="2550"/>
      <c r="F39" s="2550"/>
      <c r="G39" s="2550"/>
      <c r="H39" s="2526"/>
      <c r="I39" s="2526"/>
      <c r="J39" s="2526"/>
      <c r="K39" s="2526"/>
      <c r="L39" s="2526"/>
      <c r="M39" s="2531"/>
      <c r="N39" s="2531"/>
      <c r="O39" s="2531"/>
    </row>
    <row r="40" spans="1:20">
      <c r="A40" s="1692" t="s">
        <v>1609</v>
      </c>
      <c r="D40" s="2550"/>
      <c r="E40" s="2550"/>
      <c r="F40" s="2550"/>
      <c r="G40" s="2550"/>
      <c r="H40" s="2526"/>
      <c r="I40" s="2526"/>
      <c r="J40" s="2526"/>
      <c r="K40" s="2526"/>
      <c r="L40" s="2526"/>
      <c r="M40" s="2531"/>
      <c r="N40" s="2531"/>
      <c r="O40" s="2531"/>
      <c r="T40" s="1692">
        <v>870565</v>
      </c>
    </row>
    <row r="41" spans="1:20">
      <c r="A41" s="1692" t="s">
        <v>1610</v>
      </c>
      <c r="D41" s="2524"/>
      <c r="E41" s="2550">
        <v>95758</v>
      </c>
      <c r="F41" s="2550"/>
      <c r="G41" s="2524"/>
      <c r="H41" s="2526"/>
      <c r="I41" s="2526"/>
      <c r="J41" s="2559"/>
      <c r="K41" s="2526"/>
      <c r="L41" s="2559"/>
      <c r="M41" s="2526">
        <v>103123</v>
      </c>
      <c r="N41" s="2531"/>
      <c r="O41" s="2531"/>
      <c r="P41" s="2572">
        <v>724908</v>
      </c>
      <c r="T41" s="1759">
        <f>G38-T40</f>
        <v>61091.947781879222</v>
      </c>
    </row>
    <row r="42" spans="1:20">
      <c r="A42" s="1692" t="s">
        <v>1611</v>
      </c>
      <c r="D42" s="2524"/>
      <c r="E42" s="2573">
        <v>7089</v>
      </c>
      <c r="F42" s="2550"/>
      <c r="G42" s="2524"/>
      <c r="H42" s="2526"/>
      <c r="I42" s="2526"/>
      <c r="J42" s="2559"/>
      <c r="K42" s="2526"/>
      <c r="L42" s="2559"/>
      <c r="M42" s="2530">
        <v>-295</v>
      </c>
      <c r="N42" s="2531"/>
      <c r="O42" s="2531"/>
      <c r="P42" s="2572">
        <v>127087</v>
      </c>
      <c r="Q42" s="2572"/>
    </row>
    <row r="43" spans="1:20">
      <c r="D43" s="2524"/>
      <c r="E43" s="2550">
        <v>102847</v>
      </c>
      <c r="F43" s="2550"/>
      <c r="G43" s="2524"/>
      <c r="H43" s="2526"/>
      <c r="I43" s="2526"/>
      <c r="J43" s="2559"/>
      <c r="K43" s="2526"/>
      <c r="L43" s="2559"/>
      <c r="M43" s="2526">
        <v>102828</v>
      </c>
      <c r="N43" s="2531"/>
      <c r="O43" s="2531"/>
      <c r="P43" s="2572">
        <f>+P41-P42</f>
        <v>597821</v>
      </c>
      <c r="Q43" s="2563"/>
    </row>
    <row r="44" spans="1:20" hidden="1">
      <c r="A44" s="1692" t="e">
        <f>+#REF!</f>
        <v>#REF!</v>
      </c>
      <c r="D44" s="2524"/>
      <c r="E44" s="2529" t="e">
        <v>#REF!</v>
      </c>
      <c r="F44" s="2550"/>
      <c r="G44" s="2524"/>
      <c r="H44" s="2526"/>
      <c r="I44" s="2526"/>
      <c r="J44" s="2559"/>
      <c r="K44" s="2526"/>
      <c r="L44" s="2559"/>
      <c r="M44" s="2530">
        <v>0</v>
      </c>
      <c r="N44" s="2531"/>
      <c r="O44" s="2531"/>
      <c r="Q44" s="2563"/>
    </row>
    <row r="45" spans="1:20" hidden="1">
      <c r="D45" s="2524"/>
      <c r="E45" s="2550" t="e">
        <v>#REF!</v>
      </c>
      <c r="F45" s="2550"/>
      <c r="G45" s="2524"/>
      <c r="H45" s="2526"/>
      <c r="I45" s="2526"/>
      <c r="J45" s="2559"/>
      <c r="K45" s="2526"/>
      <c r="L45" s="2559"/>
      <c r="M45" s="2526">
        <v>102828</v>
      </c>
      <c r="N45" s="2531"/>
      <c r="O45" s="2531"/>
      <c r="Q45" s="2563"/>
    </row>
    <row r="46" spans="1:20" ht="3.95" customHeight="1">
      <c r="D46" s="2524"/>
      <c r="E46" s="2550"/>
      <c r="F46" s="2550"/>
      <c r="G46" s="2524"/>
      <c r="H46" s="2526"/>
      <c r="I46" s="2526"/>
      <c r="J46" s="2559"/>
      <c r="K46" s="2526"/>
      <c r="L46" s="2559"/>
      <c r="M46" s="2526"/>
      <c r="N46" s="2531"/>
      <c r="O46" s="2531"/>
      <c r="Q46" s="2563"/>
    </row>
    <row r="47" spans="1:20">
      <c r="A47" s="1704" t="s">
        <v>1612</v>
      </c>
      <c r="D47" s="2524"/>
      <c r="E47" s="2550"/>
      <c r="F47" s="2550"/>
      <c r="G47" s="2524"/>
      <c r="H47" s="2526"/>
      <c r="I47" s="2526"/>
      <c r="J47" s="2559"/>
      <c r="K47" s="2526"/>
      <c r="L47" s="2559"/>
      <c r="M47" s="2526"/>
      <c r="N47" s="2531"/>
      <c r="O47" s="2531"/>
      <c r="Q47" s="2563">
        <f>BS!H38</f>
        <v>11680502</v>
      </c>
    </row>
    <row r="48" spans="1:20">
      <c r="A48" s="1692" t="s">
        <v>1613</v>
      </c>
      <c r="D48" s="2524"/>
      <c r="E48" s="2564">
        <v>0</v>
      </c>
      <c r="F48" s="2550"/>
      <c r="G48" s="2524"/>
      <c r="H48" s="2526"/>
      <c r="I48" s="2526"/>
      <c r="J48" s="2559"/>
      <c r="K48" s="2526"/>
      <c r="L48" s="2559"/>
      <c r="M48" s="2538">
        <v>0</v>
      </c>
      <c r="N48" s="2531"/>
      <c r="O48" s="2531"/>
      <c r="Q48" s="2563">
        <f>7279263-2199831</f>
        <v>5079432</v>
      </c>
    </row>
    <row r="49" spans="1:19">
      <c r="A49" s="1692" t="s">
        <v>1614</v>
      </c>
      <c r="D49" s="2524"/>
      <c r="E49" s="2574">
        <v>22399.85500000004</v>
      </c>
      <c r="F49" s="2575"/>
      <c r="G49" s="2524"/>
      <c r="H49" s="2526"/>
      <c r="I49" s="2526"/>
      <c r="J49" s="2559"/>
      <c r="K49" s="2526"/>
      <c r="L49" s="2559"/>
      <c r="M49" s="2548">
        <v>12637.621484417481</v>
      </c>
      <c r="N49" s="2531"/>
      <c r="O49" s="2531"/>
      <c r="Q49" s="2563">
        <f>SUM(Q47:Q48)</f>
        <v>16759934</v>
      </c>
    </row>
    <row r="50" spans="1:19">
      <c r="D50" s="2524"/>
      <c r="E50" s="2575">
        <v>22399.85500000004</v>
      </c>
      <c r="F50" s="2575"/>
      <c r="G50" s="2524"/>
      <c r="H50" s="2526"/>
      <c r="I50" s="2526"/>
      <c r="J50" s="2559"/>
      <c r="K50" s="2526"/>
      <c r="L50" s="2559"/>
      <c r="M50" s="2526">
        <v>12637.621484417481</v>
      </c>
      <c r="N50" s="2531"/>
      <c r="O50" s="2531"/>
    </row>
    <row r="51" spans="1:19" ht="4.5" hidden="1" customHeight="1">
      <c r="D51" s="2575"/>
      <c r="E51" s="2575"/>
      <c r="F51" s="2575"/>
      <c r="G51" s="2524"/>
      <c r="H51" s="2570"/>
      <c r="I51" s="2570"/>
      <c r="J51" s="2559"/>
      <c r="K51" s="2570"/>
      <c r="L51" s="2559"/>
      <c r="M51" s="2570"/>
      <c r="N51" s="2531"/>
      <c r="O51" s="2531"/>
    </row>
    <row r="52" spans="1:19" hidden="1">
      <c r="A52" s="2576" t="s">
        <v>1959</v>
      </c>
      <c r="D52" s="2575"/>
      <c r="E52" s="2575">
        <v>0</v>
      </c>
      <c r="F52" s="2575"/>
      <c r="G52" s="2524"/>
      <c r="H52" s="2570"/>
      <c r="I52" s="2570"/>
      <c r="J52" s="2559"/>
      <c r="K52" s="2570"/>
      <c r="L52" s="2559"/>
      <c r="M52" s="2570">
        <v>0</v>
      </c>
      <c r="N52" s="2531"/>
      <c r="O52" s="2531"/>
    </row>
    <row r="53" spans="1:19" ht="7.5" hidden="1" customHeight="1">
      <c r="A53" s="2577"/>
      <c r="D53" s="2575"/>
      <c r="E53" s="2575"/>
      <c r="F53" s="2575"/>
      <c r="G53" s="2524"/>
      <c r="H53" s="2570"/>
      <c r="I53" s="2570"/>
      <c r="J53" s="2559"/>
      <c r="K53" s="2570"/>
      <c r="L53" s="2559"/>
      <c r="M53" s="2570"/>
      <c r="N53" s="2531"/>
      <c r="O53" s="2531"/>
    </row>
    <row r="54" spans="1:19" hidden="1">
      <c r="A54" s="2578" t="s">
        <v>1615</v>
      </c>
      <c r="D54" s="2575"/>
      <c r="E54" s="2575"/>
      <c r="F54" s="2575"/>
      <c r="G54" s="2524"/>
      <c r="H54" s="2570"/>
      <c r="I54" s="2570"/>
      <c r="J54" s="2559"/>
      <c r="K54" s="2570"/>
      <c r="L54" s="2559"/>
      <c r="M54" s="2570"/>
      <c r="N54" s="2531"/>
      <c r="O54" s="2531"/>
    </row>
    <row r="55" spans="1:19" hidden="1">
      <c r="A55" s="2579" t="s">
        <v>1616</v>
      </c>
      <c r="D55" s="2575"/>
      <c r="E55" s="2575">
        <v>0</v>
      </c>
      <c r="F55" s="2575"/>
      <c r="G55" s="2524"/>
      <c r="H55" s="2570"/>
      <c r="I55" s="2570"/>
      <c r="J55" s="2559"/>
      <c r="K55" s="2570"/>
      <c r="L55" s="2559"/>
      <c r="M55" s="2570">
        <v>0</v>
      </c>
      <c r="N55" s="2531"/>
      <c r="O55" s="2531"/>
    </row>
    <row r="56" spans="1:19" ht="3.95" customHeight="1">
      <c r="D56" s="2575"/>
      <c r="E56" s="2575"/>
      <c r="F56" s="2575"/>
      <c r="G56" s="2524"/>
      <c r="H56" s="2570"/>
      <c r="I56" s="2570"/>
      <c r="J56" s="2559"/>
      <c r="K56" s="2570"/>
      <c r="L56" s="2559"/>
      <c r="M56" s="2570"/>
      <c r="N56" s="2531"/>
      <c r="O56" s="2531"/>
    </row>
    <row r="57" spans="1:19" ht="12.75" hidden="1" customHeight="1">
      <c r="D57" s="2575"/>
      <c r="E57" s="2575"/>
      <c r="F57" s="2575"/>
      <c r="G57" s="2524"/>
      <c r="H57" s="2570"/>
      <c r="I57" s="2570"/>
      <c r="J57" s="2559"/>
      <c r="K57" s="2570"/>
      <c r="L57" s="2559"/>
      <c r="M57" s="2570"/>
      <c r="N57" s="2531"/>
      <c r="O57" s="2531"/>
    </row>
    <row r="58" spans="1:19">
      <c r="A58" s="1692" t="s">
        <v>1960</v>
      </c>
      <c r="D58" s="2550"/>
      <c r="E58" s="2575">
        <v>0</v>
      </c>
      <c r="F58" s="2550"/>
      <c r="G58" s="2524"/>
      <c r="H58" s="2526"/>
      <c r="I58" s="2526"/>
      <c r="J58" s="2559"/>
      <c r="K58" s="2526"/>
      <c r="L58" s="2559"/>
      <c r="M58" s="2570">
        <v>0</v>
      </c>
      <c r="N58" s="2531"/>
      <c r="O58" s="2531"/>
    </row>
    <row r="59" spans="1:19" ht="3.95" customHeight="1">
      <c r="D59" s="2550"/>
      <c r="E59" s="2550"/>
      <c r="F59" s="2550"/>
      <c r="G59" s="2524"/>
      <c r="H59" s="2526"/>
      <c r="I59" s="2526"/>
      <c r="J59" s="2559"/>
      <c r="K59" s="2526"/>
      <c r="L59" s="2559"/>
      <c r="M59" s="2526"/>
      <c r="N59" s="2531"/>
      <c r="O59" s="2531"/>
    </row>
    <row r="60" spans="1:19" s="1704" customFormat="1" ht="12.75" thickBot="1">
      <c r="A60" s="1704" t="s">
        <v>759</v>
      </c>
      <c r="D60" s="2575"/>
      <c r="E60" s="2569">
        <v>125246.85500000004</v>
      </c>
      <c r="F60" s="2575"/>
      <c r="G60" s="2580"/>
      <c r="H60" s="2570"/>
      <c r="I60" s="2570"/>
      <c r="J60" s="2581"/>
      <c r="K60" s="2570"/>
      <c r="L60" s="2581"/>
      <c r="M60" s="2571">
        <v>115465.62148441748</v>
      </c>
      <c r="N60" s="2582"/>
      <c r="O60" s="2582"/>
      <c r="P60" s="1573"/>
      <c r="Q60" s="1573"/>
      <c r="R60" s="1573"/>
      <c r="S60" s="1573"/>
    </row>
    <row r="61" spans="1:19" ht="12.75" thickTop="1">
      <c r="D61" s="2550"/>
      <c r="E61" s="2550"/>
      <c r="F61" s="2550"/>
      <c r="G61" s="2524"/>
      <c r="H61" s="2526"/>
      <c r="I61" s="2526"/>
      <c r="J61" s="2559"/>
      <c r="K61" s="2526"/>
      <c r="L61" s="2559"/>
      <c r="M61" s="2526"/>
      <c r="N61" s="2531"/>
      <c r="O61" s="2531"/>
    </row>
    <row r="62" spans="1:19">
      <c r="A62" s="1692" t="s">
        <v>759</v>
      </c>
      <c r="D62" s="2550"/>
      <c r="E62" s="2550"/>
      <c r="F62" s="2550"/>
      <c r="G62" s="2524"/>
      <c r="H62" s="2526"/>
      <c r="I62" s="2526"/>
      <c r="J62" s="2559"/>
      <c r="K62" s="2526"/>
      <c r="L62" s="2559"/>
      <c r="M62" s="2526"/>
      <c r="N62" s="2531"/>
      <c r="O62" s="2531"/>
    </row>
    <row r="63" spans="1:19">
      <c r="A63" s="1692" t="s">
        <v>1610</v>
      </c>
      <c r="D63" s="2550"/>
      <c r="E63" s="2550">
        <v>140930.462</v>
      </c>
      <c r="F63" s="2550"/>
      <c r="G63" s="2524"/>
      <c r="H63" s="2526"/>
      <c r="I63" s="2526"/>
      <c r="J63" s="2525"/>
      <c r="K63" s="2526"/>
      <c r="L63" s="2559"/>
      <c r="M63" s="2526">
        <v>122672.724</v>
      </c>
      <c r="N63" s="2531"/>
      <c r="O63" s="2531"/>
    </row>
    <row r="64" spans="1:19">
      <c r="A64" s="1692" t="s">
        <v>1611</v>
      </c>
      <c r="D64" s="2550"/>
      <c r="E64" s="2550">
        <v>-15683.60699999996</v>
      </c>
      <c r="F64" s="2550"/>
      <c r="G64" s="2524"/>
      <c r="H64" s="2526"/>
      <c r="I64" s="2526"/>
      <c r="J64" s="2525"/>
      <c r="K64" s="2526"/>
      <c r="L64" s="2559"/>
      <c r="M64" s="2526">
        <v>-7207.1025155825191</v>
      </c>
      <c r="N64" s="2531"/>
      <c r="O64" s="2531"/>
    </row>
    <row r="65" spans="1:19" s="1704" customFormat="1" ht="12.75" thickBot="1">
      <c r="D65" s="2575"/>
      <c r="E65" s="2569">
        <v>125246.85500000004</v>
      </c>
      <c r="F65" s="2575"/>
      <c r="G65" s="2580"/>
      <c r="H65" s="2570"/>
      <c r="I65" s="2570"/>
      <c r="J65" s="2581"/>
      <c r="K65" s="2570"/>
      <c r="L65" s="2581"/>
      <c r="M65" s="2571">
        <v>115465.62148441748</v>
      </c>
      <c r="N65" s="2582"/>
      <c r="O65" s="2582"/>
      <c r="P65" s="1573"/>
      <c r="Q65" s="1573"/>
      <c r="R65" s="1573"/>
      <c r="S65" s="1573"/>
    </row>
    <row r="66" spans="1:19" ht="12.75" thickTop="1">
      <c r="D66" s="2583"/>
      <c r="E66" s="2583"/>
      <c r="F66" s="2583"/>
      <c r="H66" s="2563"/>
      <c r="I66" s="2563"/>
    </row>
    <row r="67" spans="1:19">
      <c r="D67" s="1694"/>
      <c r="F67" s="2519"/>
      <c r="G67" s="2519" t="s">
        <v>701</v>
      </c>
      <c r="H67" s="2519"/>
      <c r="I67" s="2519"/>
      <c r="J67" s="2519"/>
      <c r="K67" s="2519"/>
      <c r="O67" s="2519" t="s">
        <v>701</v>
      </c>
    </row>
    <row r="68" spans="1:19" ht="3.95" customHeight="1">
      <c r="D68" s="2583"/>
      <c r="F68" s="2583"/>
      <c r="G68" s="2583"/>
      <c r="H68" s="2563"/>
      <c r="I68" s="2563"/>
      <c r="O68" s="1692"/>
    </row>
    <row r="69" spans="1:19" ht="12.75" thickBot="1">
      <c r="A69" s="1692" t="s">
        <v>1930</v>
      </c>
      <c r="D69" s="1694"/>
      <c r="F69" s="2585"/>
      <c r="G69" s="2586">
        <v>53.901499999999999</v>
      </c>
      <c r="H69" s="2587"/>
      <c r="I69" s="1692"/>
      <c r="O69" s="2588">
        <v>53.894199999999998</v>
      </c>
    </row>
    <row r="70" spans="1:19" ht="3.95" customHeight="1" thickTop="1">
      <c r="D70" s="1694"/>
      <c r="F70" s="2583"/>
      <c r="G70" s="2519"/>
      <c r="H70" s="2583"/>
      <c r="I70" s="1692"/>
      <c r="O70" s="2589"/>
    </row>
    <row r="71" spans="1:19" ht="12.75" thickBot="1">
      <c r="A71" s="1692" t="s">
        <v>1929</v>
      </c>
      <c r="D71" s="1694"/>
      <c r="F71" s="2590"/>
      <c r="G71" s="2586">
        <v>55.588345751518439</v>
      </c>
      <c r="H71" s="2590"/>
      <c r="I71" s="1692"/>
      <c r="O71" s="2588">
        <v>54.936372767272971</v>
      </c>
    </row>
    <row r="72" spans="1:19" ht="12.75" thickTop="1">
      <c r="D72" s="2583"/>
      <c r="E72" s="2583"/>
      <c r="F72" s="2583"/>
      <c r="H72" s="2583"/>
      <c r="I72" s="2563"/>
    </row>
    <row r="73" spans="1:19" s="1918" customFormat="1">
      <c r="A73" s="1918" t="str">
        <f>BS!$A$46</f>
        <v>The annexed notes from 1 to 19 form an integral part of these condensed interim financial statements.</v>
      </c>
      <c r="D73" s="2366"/>
      <c r="E73" s="2366"/>
      <c r="F73" s="2366"/>
      <c r="G73" s="2366"/>
      <c r="H73" s="1715"/>
      <c r="I73" s="1715"/>
      <c r="J73" s="2511"/>
    </row>
    <row r="74" spans="1:19" s="1918" customFormat="1">
      <c r="D74" s="2366"/>
      <c r="E74" s="2366"/>
      <c r="F74" s="2366"/>
      <c r="G74" s="2366"/>
      <c r="H74" s="1715"/>
      <c r="I74" s="1715"/>
      <c r="J74" s="2511"/>
    </row>
    <row r="75" spans="1:19" s="1918" customFormat="1">
      <c r="D75" s="2366"/>
      <c r="E75" s="2366"/>
      <c r="F75" s="2366"/>
      <c r="G75" s="2366"/>
      <c r="H75" s="1715"/>
      <c r="I75" s="1715"/>
      <c r="J75" s="2511"/>
    </row>
    <row r="76" spans="1:19">
      <c r="A76" s="1922" t="str">
        <f>BS!$A$49</f>
        <v xml:space="preserve">                                                       For MCB-Arif Habib Savings and Investments Limited</v>
      </c>
      <c r="B76" s="1929"/>
      <c r="C76" s="1929"/>
      <c r="D76" s="1929"/>
      <c r="E76" s="1929"/>
      <c r="F76" s="1929"/>
      <c r="G76" s="1929"/>
      <c r="H76" s="1929"/>
      <c r="I76" s="1692"/>
      <c r="M76" s="1692"/>
      <c r="N76" s="1692"/>
      <c r="O76" s="1692"/>
      <c r="P76" s="1692"/>
      <c r="Q76" s="1692"/>
      <c r="R76" s="1692"/>
      <c r="S76" s="1692"/>
    </row>
    <row r="77" spans="1:19">
      <c r="A77" s="1675" t="str">
        <f>BS!$A$50</f>
        <v xml:space="preserve">                                                                               (Management Company)</v>
      </c>
      <c r="B77" s="1929"/>
      <c r="C77" s="1929"/>
      <c r="D77" s="1929"/>
      <c r="E77" s="1929"/>
      <c r="F77" s="1929"/>
      <c r="G77" s="1929"/>
      <c r="H77" s="1930"/>
      <c r="I77" s="1692"/>
      <c r="M77" s="1692"/>
      <c r="N77" s="1692"/>
      <c r="O77" s="1692"/>
      <c r="P77" s="1692"/>
      <c r="Q77" s="1692"/>
      <c r="R77" s="1692"/>
      <c r="S77" s="1692"/>
    </row>
    <row r="78" spans="1:19">
      <c r="A78" s="1931"/>
      <c r="B78" s="1931"/>
      <c r="C78" s="1932"/>
      <c r="D78" s="1932"/>
      <c r="E78" s="1932"/>
      <c r="F78" s="2367"/>
      <c r="G78" s="2367"/>
      <c r="H78" s="1935"/>
      <c r="I78" s="1692"/>
      <c r="M78" s="1692"/>
      <c r="N78" s="1692"/>
      <c r="O78" s="1692"/>
      <c r="P78" s="1692"/>
      <c r="Q78" s="1692"/>
      <c r="R78" s="1692"/>
      <c r="S78" s="1692"/>
    </row>
    <row r="79" spans="1:19" hidden="1">
      <c r="A79" s="1931"/>
      <c r="B79" s="1931"/>
      <c r="C79" s="1932"/>
      <c r="D79" s="1932"/>
      <c r="E79" s="1932"/>
      <c r="F79" s="2367"/>
      <c r="G79" s="2367"/>
      <c r="H79" s="1935"/>
      <c r="I79" s="1692"/>
      <c r="M79" s="1692"/>
      <c r="N79" s="1692"/>
      <c r="O79" s="1692"/>
      <c r="P79" s="1692"/>
      <c r="Q79" s="1692"/>
      <c r="R79" s="1692"/>
      <c r="S79" s="1692"/>
    </row>
    <row r="80" spans="1:19">
      <c r="A80" s="1931"/>
      <c r="B80" s="1931"/>
      <c r="C80" s="1932"/>
      <c r="D80" s="1932"/>
      <c r="E80" s="1932"/>
      <c r="F80" s="2367"/>
      <c r="G80" s="2367"/>
      <c r="H80" s="1935"/>
      <c r="I80" s="1692"/>
      <c r="M80" s="1692"/>
      <c r="N80" s="1692"/>
      <c r="O80" s="1692"/>
      <c r="P80" s="1692"/>
      <c r="Q80" s="1692"/>
      <c r="R80" s="1692"/>
      <c r="S80" s="1692"/>
    </row>
    <row r="81" spans="1:19">
      <c r="A81" s="1931"/>
      <c r="B81" s="1931"/>
      <c r="C81" s="1932"/>
      <c r="D81" s="1932"/>
      <c r="E81" s="1932"/>
      <c r="F81" s="2367"/>
      <c r="G81" s="2367"/>
      <c r="H81" s="1935"/>
      <c r="I81" s="1692"/>
      <c r="M81" s="1692"/>
      <c r="N81" s="1692"/>
      <c r="O81" s="1692"/>
      <c r="P81" s="1692"/>
      <c r="Q81" s="1692"/>
      <c r="R81" s="1692"/>
      <c r="S81" s="1692"/>
    </row>
    <row r="82" spans="1:19">
      <c r="A82" s="1922" t="str">
        <f>BS!$A$55</f>
        <v xml:space="preserve">           _____________________                          _____________________                          _____________________</v>
      </c>
      <c r="D82" s="1932"/>
      <c r="E82" s="1932"/>
      <c r="F82" s="1937"/>
      <c r="G82" s="1694"/>
      <c r="H82" s="1935"/>
      <c r="I82" s="1692"/>
      <c r="M82" s="1692"/>
      <c r="N82" s="1692"/>
      <c r="O82" s="1692"/>
      <c r="P82" s="1692"/>
      <c r="Q82" s="1692"/>
      <c r="R82" s="1692"/>
      <c r="S82" s="1692"/>
    </row>
    <row r="83" spans="1:19">
      <c r="A83" s="1675" t="str">
        <f>BS!$A$56</f>
        <v xml:space="preserve">            Chief Executive Officer                              Chief Financial Officer                                          Director</v>
      </c>
      <c r="D83" s="1932"/>
      <c r="E83" s="1932"/>
      <c r="F83" s="1937"/>
      <c r="G83" s="1694"/>
      <c r="H83" s="1935"/>
      <c r="I83" s="1692"/>
      <c r="M83" s="1692"/>
      <c r="N83" s="1692"/>
      <c r="O83" s="1692"/>
      <c r="P83" s="1692"/>
      <c r="Q83" s="1692"/>
      <c r="R83" s="1692"/>
      <c r="S83" s="1692"/>
    </row>
  </sheetData>
  <mergeCells count="12">
    <mergeCell ref="D5:O5"/>
    <mergeCell ref="D7:O7"/>
    <mergeCell ref="D6:H6"/>
    <mergeCell ref="L6:O6"/>
    <mergeCell ref="M8:M12"/>
    <mergeCell ref="N8:N12"/>
    <mergeCell ref="O8:O12"/>
    <mergeCell ref="D8:D12"/>
    <mergeCell ref="E8:E12"/>
    <mergeCell ref="F8:F12"/>
    <mergeCell ref="G8:G12"/>
    <mergeCell ref="L8:L12"/>
  </mergeCells>
  <printOptions horizontalCentered="1"/>
  <pageMargins left="0.75" right="0.5" top="0.5" bottom="0.4" header="0.54" footer="0.23"/>
  <pageSetup paperSize="9" scale="8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F83"/>
  <sheetViews>
    <sheetView showGridLines="0" view="pageBreakPreview" topLeftCell="A13" zoomScaleNormal="100" zoomScaleSheetLayoutView="100" workbookViewId="0">
      <selection activeCell="AF83" sqref="AF83"/>
    </sheetView>
  </sheetViews>
  <sheetFormatPr defaultColWidth="9" defaultRowHeight="12.75"/>
  <cols>
    <col min="1" max="1" width="5.75" style="1334" customWidth="1"/>
    <col min="2" max="2" width="10.875" style="1334" customWidth="1"/>
    <col min="3" max="3" width="38" style="1334" customWidth="1"/>
    <col min="4" max="4" width="0.625" style="1334" customWidth="1"/>
    <col min="5" max="8" width="13.5" style="1358" customWidth="1"/>
    <col min="9" max="9" width="1" style="1358" customWidth="1"/>
    <col min="10" max="10" width="10.5" style="1358" hidden="1" customWidth="1"/>
    <col min="11" max="12" width="12" style="1334" hidden="1" customWidth="1"/>
    <col min="13" max="13" width="13.5" style="1438" customWidth="1"/>
    <col min="14" max="14" width="6.375" style="1334" hidden="1" customWidth="1"/>
    <col min="15" max="15" width="16.5" style="1334" hidden="1" customWidth="1"/>
    <col min="16" max="16" width="28.75" style="1334" hidden="1" customWidth="1"/>
    <col min="17" max="17" width="8.625" style="1334" hidden="1" customWidth="1"/>
    <col min="18" max="18" width="17.625" style="1334" hidden="1" customWidth="1"/>
    <col min="19" max="19" width="16.625" style="1334" hidden="1" customWidth="1"/>
    <col min="20" max="20" width="11.375" style="1334" hidden="1" customWidth="1"/>
    <col min="21" max="21" width="9" style="1334" hidden="1" customWidth="1"/>
    <col min="22" max="22" width="9" style="1334"/>
    <col min="23" max="23" width="13.875" style="1334" customWidth="1"/>
    <col min="24" max="24" width="9.25" style="1334" customWidth="1"/>
    <col min="25" max="25" width="16.5" style="1334" customWidth="1"/>
    <col min="26" max="26" width="9" style="1334"/>
    <col min="27" max="27" width="12.25" style="1334" customWidth="1"/>
    <col min="28" max="28" width="9" style="1334"/>
    <col min="29" max="29" width="16.5" style="1334" customWidth="1"/>
    <col min="30" max="30" width="10.25" style="1334" customWidth="1"/>
    <col min="31" max="31" width="9" style="1334"/>
    <col min="32" max="32" width="10.75" style="1334" customWidth="1"/>
    <col min="33" max="16384" width="9" style="1334"/>
  </cols>
  <sheetData>
    <row r="1" spans="1:32">
      <c r="A1" s="1333" t="s">
        <v>671</v>
      </c>
      <c r="E1" s="1334"/>
      <c r="F1" s="1334"/>
      <c r="G1" s="1334"/>
      <c r="H1" s="1334"/>
      <c r="I1" s="1334"/>
      <c r="J1" s="1334"/>
      <c r="M1" s="1334"/>
    </row>
    <row r="2" spans="1:32">
      <c r="A2" s="1333" t="str">
        <f>UHF!A2</f>
        <v>STATEMENT OF MOVEMENT IN UNIT HOLDERS' FUND</v>
      </c>
      <c r="E2" s="1334"/>
      <c r="F2" s="1334"/>
      <c r="G2" s="1334"/>
      <c r="H2" s="1334"/>
      <c r="I2" s="1334"/>
      <c r="J2" s="1334"/>
      <c r="M2" s="1334"/>
    </row>
    <row r="3" spans="1:32">
      <c r="A3" s="1335" t="str">
        <f>OCI!A3</f>
        <v>FOR THE QUARTER ENDED SEPTEMBER 30, 2021</v>
      </c>
      <c r="E3" s="1334"/>
      <c r="F3" s="1334"/>
      <c r="G3" s="1334"/>
      <c r="H3" s="1334"/>
      <c r="I3" s="1334"/>
      <c r="J3" s="1334"/>
      <c r="M3" s="1334"/>
    </row>
    <row r="4" spans="1:32" s="1139" customFormat="1">
      <c r="A4" s="1336"/>
      <c r="B4" s="1336"/>
      <c r="C4" s="1336"/>
      <c r="D4" s="1336"/>
      <c r="E4" s="1337"/>
      <c r="F4" s="1337"/>
      <c r="G4" s="1337"/>
      <c r="H4" s="1337"/>
      <c r="I4" s="1337"/>
      <c r="J4" s="1337"/>
      <c r="K4" s="1337"/>
      <c r="L4" s="1337"/>
      <c r="M4" s="1337"/>
      <c r="P4" s="1139">
        <f>BS!H38</f>
        <v>11680502</v>
      </c>
    </row>
    <row r="5" spans="1:32">
      <c r="A5" s="1338"/>
      <c r="B5" s="1338"/>
      <c r="C5" s="1338"/>
      <c r="D5" s="1338"/>
      <c r="E5" s="2922" t="s">
        <v>1919</v>
      </c>
      <c r="F5" s="2922"/>
      <c r="G5" s="2922"/>
      <c r="H5" s="2922"/>
      <c r="I5" s="2922"/>
      <c r="J5" s="2922"/>
      <c r="K5" s="2922"/>
      <c r="L5" s="2922"/>
      <c r="M5" s="2922"/>
      <c r="P5" s="1334">
        <v>41395847</v>
      </c>
    </row>
    <row r="6" spans="1:32">
      <c r="A6" s="1339"/>
      <c r="B6" s="1338"/>
      <c r="C6" s="1340"/>
      <c r="D6" s="1338"/>
      <c r="E6" s="2923" t="s">
        <v>1918</v>
      </c>
      <c r="F6" s="2923"/>
      <c r="G6" s="2923"/>
      <c r="H6" s="2923"/>
      <c r="I6" s="2923"/>
      <c r="J6" s="2923"/>
      <c r="K6" s="2923"/>
      <c r="L6" s="2923"/>
      <c r="M6" s="2923"/>
      <c r="O6" s="1341">
        <f>O7/1000</f>
        <v>-66444.832824200159</v>
      </c>
      <c r="P6" s="1334">
        <v>-49012602</v>
      </c>
    </row>
    <row r="7" spans="1:32">
      <c r="A7" s="1339"/>
      <c r="B7" s="1338"/>
      <c r="C7" s="1340"/>
      <c r="D7" s="1338"/>
      <c r="E7" s="2923">
        <v>2018</v>
      </c>
      <c r="F7" s="2923"/>
      <c r="G7" s="2923"/>
      <c r="H7" s="2923"/>
      <c r="I7" s="1342"/>
      <c r="J7" s="2923">
        <v>2017</v>
      </c>
      <c r="K7" s="2923"/>
      <c r="L7" s="2923"/>
      <c r="M7" s="2923"/>
      <c r="O7" s="1341">
        <f>O8+P24</f>
        <v>-66444832.824200153</v>
      </c>
      <c r="P7" s="1334">
        <f>SUM(P4:P6)</f>
        <v>4063747</v>
      </c>
      <c r="R7" s="1341" t="e">
        <f>O6-F26</f>
        <v>#REF!</v>
      </c>
    </row>
    <row r="8" spans="1:32">
      <c r="A8" s="1339"/>
      <c r="B8" s="1338"/>
      <c r="C8" s="1338"/>
      <c r="D8" s="1338"/>
      <c r="E8" s="2924" t="s">
        <v>1592</v>
      </c>
      <c r="F8" s="2924"/>
      <c r="G8" s="2924"/>
      <c r="H8" s="2924"/>
      <c r="I8" s="2924"/>
      <c r="J8" s="2924"/>
      <c r="K8" s="2924"/>
      <c r="L8" s="2924"/>
      <c r="M8" s="2924"/>
      <c r="O8" s="1341">
        <f>O24*Q24</f>
        <v>2602363260.1757998</v>
      </c>
      <c r="P8" s="1343">
        <f>BS!F38</f>
        <v>16759933.892700002</v>
      </c>
    </row>
    <row r="9" spans="1:32" ht="8.1" customHeight="1" thickBot="1">
      <c r="A9" s="1339"/>
      <c r="B9" s="1338"/>
      <c r="C9" s="1338"/>
      <c r="D9" s="1338"/>
      <c r="E9" s="1499"/>
      <c r="F9" s="1499"/>
      <c r="G9" s="1499"/>
      <c r="H9" s="1499"/>
      <c r="I9" s="1499"/>
      <c r="J9" s="1499"/>
      <c r="K9" s="1499"/>
      <c r="L9" s="1499"/>
      <c r="M9" s="1499"/>
    </row>
    <row r="10" spans="1:32" s="1347" customFormat="1" ht="72.75" thickBot="1">
      <c r="A10" s="1344"/>
      <c r="B10" s="1344"/>
      <c r="C10" s="1344"/>
      <c r="D10" s="1344"/>
      <c r="E10" s="1345" t="s">
        <v>1593</v>
      </c>
      <c r="F10" s="1345" t="s">
        <v>1594</v>
      </c>
      <c r="G10" s="1345" t="s">
        <v>1595</v>
      </c>
      <c r="H10" s="1345" t="s">
        <v>681</v>
      </c>
      <c r="I10" s="1346"/>
      <c r="J10" s="1345" t="s">
        <v>1593</v>
      </c>
      <c r="K10" s="1345" t="s">
        <v>1594</v>
      </c>
      <c r="L10" s="1345" t="s">
        <v>1595</v>
      </c>
      <c r="M10" s="1345" t="s">
        <v>681</v>
      </c>
      <c r="O10" s="1348">
        <f>O16*Q16</f>
        <v>2197945613.1426001</v>
      </c>
      <c r="P10" s="1348">
        <f>O10-P16</f>
        <v>-42015747.85739994</v>
      </c>
    </row>
    <row r="11" spans="1:32" s="1352" customFormat="1" ht="8.1" customHeight="1">
      <c r="A11" s="1500"/>
      <c r="B11" s="1500"/>
      <c r="C11" s="1500"/>
      <c r="D11" s="1500"/>
      <c r="E11" s="1349"/>
      <c r="F11" s="1349"/>
      <c r="G11" s="1349"/>
      <c r="H11" s="1350"/>
      <c r="I11" s="1351"/>
      <c r="J11" s="1349"/>
      <c r="K11" s="1349"/>
      <c r="L11" s="1349"/>
      <c r="M11" s="1349"/>
    </row>
    <row r="12" spans="1:32">
      <c r="A12" s="1338" t="s">
        <v>778</v>
      </c>
      <c r="B12" s="1338"/>
      <c r="C12" s="1338"/>
      <c r="D12" s="1338"/>
      <c r="E12" s="1351">
        <v>1204082</v>
      </c>
      <c r="F12" s="1351">
        <v>145951</v>
      </c>
      <c r="G12" s="1351">
        <v>-40</v>
      </c>
      <c r="H12" s="1351">
        <v>1349993</v>
      </c>
      <c r="I12" s="1340"/>
      <c r="J12" s="1353">
        <f>M12-K12-L12</f>
        <v>1585327</v>
      </c>
      <c r="K12" s="1353">
        <f>M43</f>
        <v>94679</v>
      </c>
      <c r="L12" s="1353">
        <v>8060</v>
      </c>
      <c r="M12" s="1353">
        <v>1688066</v>
      </c>
      <c r="O12" s="1354">
        <f>BS!H38</f>
        <v>11680502</v>
      </c>
      <c r="P12" s="1355">
        <f>O16+16521</f>
        <v>41412368</v>
      </c>
      <c r="Q12" s="1354"/>
      <c r="R12" s="1355">
        <f>O24</f>
        <v>49012601</v>
      </c>
      <c r="S12" s="1355">
        <f>O12+P12-R12</f>
        <v>4080269</v>
      </c>
      <c r="T12" s="1334">
        <f>BS!F38</f>
        <v>16759933.892700002</v>
      </c>
      <c r="U12" s="1356">
        <f>S12-T12</f>
        <v>-12679664.892700002</v>
      </c>
      <c r="W12" s="1334">
        <f>BS!H38</f>
        <v>11680502</v>
      </c>
      <c r="AF12" s="1356">
        <f>H12</f>
        <v>1349993</v>
      </c>
    </row>
    <row r="13" spans="1:32" ht="8.1" customHeight="1">
      <c r="A13" s="1339"/>
      <c r="B13" s="1338"/>
      <c r="C13" s="1338"/>
      <c r="D13" s="1338"/>
      <c r="E13" s="1340"/>
      <c r="F13" s="1340"/>
      <c r="G13" s="1340"/>
      <c r="H13" s="1340"/>
      <c r="I13" s="1340"/>
      <c r="J13" s="1340"/>
      <c r="K13" s="1340"/>
      <c r="L13" s="1340"/>
      <c r="M13" s="1340"/>
    </row>
    <row r="14" spans="1:32">
      <c r="A14" s="1338" t="s">
        <v>1928</v>
      </c>
      <c r="B14" s="1338"/>
      <c r="C14" s="1338"/>
      <c r="D14" s="1338"/>
      <c r="E14" s="1340"/>
      <c r="F14" s="1340"/>
      <c r="G14" s="1340"/>
      <c r="H14" s="1340"/>
      <c r="I14" s="1357"/>
      <c r="J14" s="1340"/>
      <c r="K14" s="1340"/>
      <c r="L14" s="1340"/>
      <c r="M14" s="1340"/>
      <c r="W14" s="1358">
        <f>3434123-278621</f>
        <v>3155502</v>
      </c>
      <c r="X14" s="1358">
        <f>BS!H43</f>
        <v>53.901499999999999</v>
      </c>
      <c r="Y14" s="1359">
        <f>(W14*X14)/1000</f>
        <v>170086.29105299999</v>
      </c>
      <c r="Z14" s="1358"/>
      <c r="AA14" s="1358">
        <v>11295194</v>
      </c>
      <c r="AB14" s="1358">
        <f>BS!H43</f>
        <v>53.901499999999999</v>
      </c>
      <c r="AC14" s="1359">
        <f>(AA14*AB14)/1000</f>
        <v>608827.89939100004</v>
      </c>
      <c r="AD14" s="1356">
        <f>AC14</f>
        <v>608827.89939100004</v>
      </c>
    </row>
    <row r="15" spans="1:32">
      <c r="A15" s="1360" t="s">
        <v>1596</v>
      </c>
      <c r="B15" s="1338"/>
      <c r="C15" s="1338"/>
      <c r="D15" s="1338"/>
      <c r="E15" s="1340"/>
      <c r="F15" s="1340"/>
      <c r="G15" s="1340"/>
      <c r="H15" s="1340"/>
      <c r="I15" s="1357"/>
      <c r="J15" s="1340"/>
      <c r="K15" s="1340"/>
      <c r="L15" s="1340"/>
      <c r="M15" s="1340"/>
      <c r="O15" s="1361" t="s">
        <v>1597</v>
      </c>
      <c r="P15" s="1361" t="s">
        <v>1598</v>
      </c>
      <c r="Q15" s="1361" t="s">
        <v>1599</v>
      </c>
      <c r="R15" s="1361" t="s">
        <v>1600</v>
      </c>
      <c r="S15" s="1361" t="s">
        <v>1601</v>
      </c>
      <c r="U15" s="1334">
        <f>16521*55</f>
        <v>908655</v>
      </c>
      <c r="W15" s="1358"/>
      <c r="X15" s="1358"/>
      <c r="Y15" s="1362">
        <f>Y16-Y14</f>
        <v>11788.708947000006</v>
      </c>
      <c r="Z15" s="1358"/>
      <c r="AA15" s="1358"/>
      <c r="AB15" s="1358"/>
      <c r="AC15" s="1363">
        <f>AC16-AC14</f>
        <v>-7443.8993910000427</v>
      </c>
      <c r="AD15" s="1356" t="e">
        <f>AC15-F26</f>
        <v>#REF!</v>
      </c>
    </row>
    <row r="16" spans="1:32">
      <c r="A16" s="1364" t="s">
        <v>1931</v>
      </c>
      <c r="B16" s="1338"/>
      <c r="C16" s="1338"/>
      <c r="D16" s="1338"/>
      <c r="E16" s="1365">
        <f>Y14</f>
        <v>170086.29105299999</v>
      </c>
      <c r="F16" s="1365">
        <v>0</v>
      </c>
      <c r="G16" s="1505">
        <v>0</v>
      </c>
      <c r="H16" s="1365">
        <f>E16+F16+G16</f>
        <v>170086.29105299999</v>
      </c>
      <c r="I16" s="1357"/>
      <c r="J16" s="1340"/>
      <c r="K16" s="1340"/>
      <c r="L16" s="1340"/>
      <c r="M16" s="1340"/>
      <c r="O16" s="1366">
        <v>41395847</v>
      </c>
      <c r="P16" s="895">
        <v>2239961361</v>
      </c>
      <c r="Q16" s="1367">
        <v>53.095799999999997</v>
      </c>
      <c r="R16" s="1366">
        <f>O16*Q16</f>
        <v>2197945613.1426001</v>
      </c>
      <c r="S16" s="895">
        <f>P16-R16</f>
        <v>42015747.85739994</v>
      </c>
      <c r="W16" s="1334">
        <v>11295194</v>
      </c>
      <c r="X16" s="1358"/>
      <c r="Y16" s="1368">
        <v>181875</v>
      </c>
      <c r="Z16" s="1358"/>
      <c r="AA16" s="1358"/>
      <c r="AB16" s="1358"/>
      <c r="AC16" s="1368">
        <v>601384</v>
      </c>
      <c r="AD16" s="1356" t="e">
        <f>SUM(AD14:AD15)</f>
        <v>#REF!</v>
      </c>
      <c r="AE16" s="1356">
        <f>Y16-AC16</f>
        <v>-419509</v>
      </c>
      <c r="AF16" s="1356">
        <f>Y16</f>
        <v>181875</v>
      </c>
    </row>
    <row r="17" spans="1:32">
      <c r="A17" s="1360" t="s">
        <v>1934</v>
      </c>
      <c r="B17" s="1338"/>
      <c r="C17" s="1338"/>
      <c r="D17" s="1338"/>
      <c r="E17" s="1380"/>
      <c r="F17" s="1380"/>
      <c r="G17" s="1506"/>
      <c r="H17" s="1380"/>
      <c r="I17" s="1357"/>
      <c r="J17" s="1340"/>
      <c r="K17" s="1340"/>
      <c r="L17" s="1340"/>
      <c r="M17" s="1340"/>
      <c r="O17" s="1366"/>
      <c r="P17" s="895"/>
      <c r="Q17" s="1367"/>
      <c r="R17" s="1366"/>
      <c r="S17" s="895"/>
      <c r="X17" s="1358"/>
      <c r="Y17" s="1437"/>
      <c r="Z17" s="1358"/>
      <c r="AA17" s="1358"/>
      <c r="AB17" s="1358"/>
      <c r="AC17" s="1437"/>
      <c r="AD17" s="1356"/>
      <c r="AE17" s="1356"/>
      <c r="AF17" s="1356"/>
    </row>
    <row r="18" spans="1:32">
      <c r="A18" s="1504" t="s">
        <v>1935</v>
      </c>
      <c r="B18" s="1338"/>
      <c r="C18" s="1338"/>
      <c r="D18" s="1338"/>
      <c r="E18" s="1380">
        <f>ROUND(278621*50/1000,0)+1</f>
        <v>13932</v>
      </c>
      <c r="F18" s="1380">
        <v>0</v>
      </c>
      <c r="G18" s="1506">
        <v>0</v>
      </c>
      <c r="H18" s="1380">
        <f>E18+F18+G18</f>
        <v>13932</v>
      </c>
      <c r="I18" s="1357"/>
      <c r="J18" s="1340"/>
      <c r="K18" s="1340"/>
      <c r="L18" s="1340"/>
      <c r="M18" s="1340"/>
      <c r="O18" s="1366"/>
      <c r="P18" s="895"/>
      <c r="Q18" s="1367"/>
      <c r="R18" s="1366"/>
      <c r="S18" s="895"/>
      <c r="X18" s="1358"/>
      <c r="Y18" s="1437"/>
      <c r="Z18" s="1358"/>
      <c r="AA18" s="1358"/>
      <c r="AB18" s="1358"/>
      <c r="AC18" s="1437"/>
      <c r="AD18" s="1356"/>
      <c r="AE18" s="1356"/>
      <c r="AF18" s="1356"/>
    </row>
    <row r="19" spans="1:32">
      <c r="A19" s="1360" t="s">
        <v>1602</v>
      </c>
      <c r="B19" s="1338"/>
      <c r="C19" s="1338"/>
      <c r="D19" s="1338"/>
      <c r="E19" s="1369">
        <f>Y16-E16-1</f>
        <v>11787.708947000006</v>
      </c>
      <c r="F19" s="1369">
        <v>0</v>
      </c>
      <c r="G19" s="1507">
        <v>0</v>
      </c>
      <c r="H19" s="1369">
        <f>E19+F19+G19</f>
        <v>11787.708947000006</v>
      </c>
      <c r="I19" s="1357"/>
      <c r="J19" s="1340"/>
      <c r="K19" s="1340"/>
      <c r="L19" s="1340"/>
      <c r="M19" s="1340"/>
      <c r="O19" s="1356"/>
      <c r="R19" s="1356"/>
      <c r="W19" s="1358"/>
      <c r="X19" s="1358"/>
      <c r="Y19" s="1358"/>
      <c r="Z19" s="1358"/>
      <c r="AA19" s="1358"/>
      <c r="AB19" s="1358"/>
    </row>
    <row r="20" spans="1:32">
      <c r="A20" s="1338" t="s">
        <v>1672</v>
      </c>
      <c r="B20" s="1338"/>
      <c r="C20" s="1338"/>
      <c r="D20" s="1338"/>
      <c r="E20" s="1370">
        <f>SUM(E16:E19)</f>
        <v>195806</v>
      </c>
      <c r="F20" s="1370">
        <f>SUM(F16:F19)</f>
        <v>0</v>
      </c>
      <c r="G20" s="1370">
        <f>SUM(G16:G19)</f>
        <v>0</v>
      </c>
      <c r="H20" s="1349">
        <f>E20+F20+G20</f>
        <v>195806</v>
      </c>
      <c r="I20" s="1357"/>
      <c r="J20" s="1371">
        <v>2489582</v>
      </c>
      <c r="K20" s="1371">
        <v>0</v>
      </c>
      <c r="L20" s="1371">
        <v>0</v>
      </c>
      <c r="M20" s="1371">
        <v>561473.19999999995</v>
      </c>
      <c r="O20" s="1356"/>
      <c r="R20" s="1356"/>
      <c r="W20" s="1358">
        <f>W12+W14-W16</f>
        <v>3540810</v>
      </c>
      <c r="X20" s="1358"/>
      <c r="Y20" s="1358"/>
      <c r="Z20" s="1358"/>
      <c r="AA20" s="1358"/>
      <c r="AB20" s="1358"/>
      <c r="AF20" s="1356" t="e">
        <f>-AD16</f>
        <v>#REF!</v>
      </c>
    </row>
    <row r="21" spans="1:32" ht="8.1" customHeight="1">
      <c r="A21" s="1338"/>
      <c r="B21" s="1338"/>
      <c r="C21" s="1338"/>
      <c r="D21" s="1338"/>
      <c r="E21" s="1357"/>
      <c r="F21" s="1357"/>
      <c r="G21" s="1357"/>
      <c r="H21" s="1357"/>
      <c r="I21" s="1357"/>
      <c r="J21" s="1357"/>
      <c r="K21" s="1357"/>
      <c r="L21" s="1357"/>
      <c r="M21" s="1357"/>
      <c r="O21" s="1356"/>
      <c r="R21" s="1356"/>
      <c r="W21" s="1358"/>
      <c r="X21" s="1358"/>
      <c r="Y21" s="1358"/>
      <c r="Z21" s="1358"/>
      <c r="AA21" s="1358"/>
      <c r="AB21" s="1358"/>
    </row>
    <row r="22" spans="1:32">
      <c r="A22" s="1338" t="s">
        <v>1927</v>
      </c>
      <c r="B22" s="1338"/>
      <c r="C22" s="1338"/>
      <c r="D22" s="1338"/>
      <c r="E22" s="1357"/>
      <c r="F22" s="1357"/>
      <c r="G22" s="1357"/>
      <c r="H22" s="1357"/>
      <c r="I22" s="1357"/>
      <c r="J22" s="1357"/>
      <c r="K22" s="1357"/>
      <c r="L22" s="1357"/>
      <c r="M22" s="1357"/>
      <c r="O22" s="1356"/>
      <c r="R22" s="1356"/>
      <c r="W22" s="1358">
        <f>W20-BS!F38</f>
        <v>-13219123.892700002</v>
      </c>
      <c r="X22" s="1358"/>
      <c r="Y22" s="1128">
        <v>1688066</v>
      </c>
      <c r="Z22" s="1358"/>
      <c r="AA22" s="1358"/>
      <c r="AB22" s="1358"/>
      <c r="AF22" s="1334">
        <v>90777</v>
      </c>
    </row>
    <row r="23" spans="1:32">
      <c r="A23" s="1372" t="s">
        <v>1596</v>
      </c>
      <c r="B23" s="1373"/>
      <c r="C23" s="1373"/>
      <c r="D23" s="1373"/>
      <c r="E23" s="1357"/>
      <c r="F23" s="1357"/>
      <c r="G23" s="1357"/>
      <c r="H23" s="1357"/>
      <c r="I23" s="1357"/>
      <c r="J23" s="1357"/>
      <c r="K23" s="1357"/>
      <c r="L23" s="1357"/>
      <c r="M23" s="1357"/>
      <c r="O23" s="1374" t="s">
        <v>1603</v>
      </c>
      <c r="P23" s="1375" t="s">
        <v>1598</v>
      </c>
      <c r="Q23" s="1375" t="s">
        <v>1599</v>
      </c>
      <c r="R23" s="1374" t="s">
        <v>1600</v>
      </c>
      <c r="S23" s="1361" t="s">
        <v>1601</v>
      </c>
      <c r="W23" s="1358"/>
      <c r="X23" s="1358"/>
      <c r="Y23" s="1128"/>
      <c r="Z23" s="1358"/>
      <c r="AA23" s="1358"/>
      <c r="AB23" s="1358"/>
    </row>
    <row r="24" spans="1:32">
      <c r="A24" s="1376" t="s">
        <v>1931</v>
      </c>
      <c r="B24" s="1373"/>
      <c r="C24" s="1373"/>
      <c r="D24" s="1373"/>
      <c r="E24" s="1365">
        <f>-AC14</f>
        <v>-608827.89939100004</v>
      </c>
      <c r="F24" s="1365">
        <v>0</v>
      </c>
      <c r="G24" s="1365">
        <v>0</v>
      </c>
      <c r="H24" s="1365">
        <f>SUM(E24:G24)</f>
        <v>-608827.89939100004</v>
      </c>
      <c r="I24" s="1357"/>
      <c r="J24" s="1340"/>
      <c r="K24" s="1340"/>
      <c r="L24" s="1340"/>
      <c r="M24" s="1340"/>
      <c r="O24" s="1358">
        <v>49012601</v>
      </c>
      <c r="P24" s="895">
        <v>-2668808093</v>
      </c>
      <c r="Q24" s="1367">
        <v>53.095799999999997</v>
      </c>
      <c r="R24" s="1366">
        <f>(O24*Q24)</f>
        <v>2602363260.1757998</v>
      </c>
      <c r="S24" s="895"/>
      <c r="T24" s="1377">
        <f>(R24+P24)/1000</f>
        <v>-66444.832824200159</v>
      </c>
      <c r="Y24" s="1128"/>
      <c r="AF24" s="1356" t="e">
        <f>SUM(AF12:AF23)</f>
        <v>#REF!</v>
      </c>
    </row>
    <row r="25" spans="1:32">
      <c r="A25" s="1372" t="s">
        <v>1604</v>
      </c>
      <c r="B25" s="1373"/>
      <c r="C25" s="1373"/>
      <c r="D25" s="1373"/>
      <c r="E25" s="1378"/>
      <c r="F25" s="1378"/>
      <c r="G25" s="1378"/>
      <c r="H25" s="1378"/>
      <c r="I25" s="1357"/>
      <c r="J25" s="1340"/>
      <c r="K25" s="1340"/>
      <c r="L25" s="1340"/>
      <c r="M25" s="1340"/>
      <c r="O25" s="1358"/>
      <c r="R25" s="1341"/>
      <c r="T25" s="1358"/>
      <c r="Y25" s="1128"/>
    </row>
    <row r="26" spans="1:32">
      <c r="A26" s="1372"/>
      <c r="B26" s="1379" t="s">
        <v>1856</v>
      </c>
      <c r="C26" s="1373"/>
      <c r="D26" s="1373"/>
      <c r="E26" s="1380">
        <f>E29-E24</f>
        <v>7443.8993910000427</v>
      </c>
      <c r="F26" s="1381" t="e">
        <f>IS!#REF!</f>
        <v>#REF!</v>
      </c>
      <c r="G26" s="1380">
        <v>0</v>
      </c>
      <c r="H26" s="1380" t="e">
        <f>SUM(E26:G26)</f>
        <v>#REF!</v>
      </c>
      <c r="I26" s="1357"/>
      <c r="J26" s="1340"/>
      <c r="K26" s="1340"/>
      <c r="L26" s="1340"/>
      <c r="M26" s="1340"/>
      <c r="O26" s="1358"/>
      <c r="P26" s="1358"/>
      <c r="T26" s="1377">
        <f>+T24-T25</f>
        <v>-66444.832824200159</v>
      </c>
      <c r="Y26" s="1128"/>
    </row>
    <row r="27" spans="1:32">
      <c r="A27" s="1372"/>
      <c r="B27" s="1379" t="s">
        <v>1857</v>
      </c>
      <c r="C27" s="1373"/>
      <c r="D27" s="1373"/>
      <c r="E27" s="1380">
        <v>0</v>
      </c>
      <c r="F27" s="1380">
        <v>0</v>
      </c>
      <c r="G27" s="1380"/>
      <c r="H27" s="1380">
        <f>SUM(E27:G27)</f>
        <v>0</v>
      </c>
      <c r="I27" s="1357"/>
      <c r="J27" s="1340"/>
      <c r="K27" s="1340"/>
      <c r="L27" s="1340"/>
      <c r="M27" s="1340"/>
      <c r="P27" s="1358">
        <f>+P26-O26</f>
        <v>0</v>
      </c>
      <c r="Y27" s="1128"/>
    </row>
    <row r="28" spans="1:32">
      <c r="A28" s="1372" t="s">
        <v>1605</v>
      </c>
      <c r="B28" s="1373"/>
      <c r="C28" s="1373"/>
      <c r="D28" s="1373"/>
      <c r="E28" s="1382">
        <v>0</v>
      </c>
      <c r="F28" s="1369">
        <v>0</v>
      </c>
      <c r="G28" s="1369">
        <v>0</v>
      </c>
      <c r="H28" s="1369">
        <f>SUM(E28:G28)</f>
        <v>0</v>
      </c>
      <c r="I28" s="1357"/>
      <c r="J28" s="1340"/>
      <c r="K28" s="1340"/>
      <c r="L28" s="1340"/>
      <c r="M28" s="1340"/>
      <c r="P28" s="1356">
        <f>P16+P24</f>
        <v>-428846732</v>
      </c>
      <c r="Y28" s="1128">
        <v>2239464</v>
      </c>
    </row>
    <row r="29" spans="1:32" s="1384" customFormat="1">
      <c r="A29" s="1373" t="s">
        <v>1606</v>
      </c>
      <c r="B29" s="1373"/>
      <c r="C29" s="1373"/>
      <c r="D29" s="1373"/>
      <c r="E29" s="1349">
        <f>-AC16</f>
        <v>-601384</v>
      </c>
      <c r="F29" s="1349" t="e">
        <f>SUM(F24:F28)</f>
        <v>#REF!</v>
      </c>
      <c r="G29" s="1349">
        <f>SUM(G24:G28)</f>
        <v>0</v>
      </c>
      <c r="H29" s="1349" t="e">
        <f>SUM(H24:H28)</f>
        <v>#REF!</v>
      </c>
      <c r="I29" s="1357"/>
      <c r="J29" s="1383">
        <v>-1891291</v>
      </c>
      <c r="K29" s="1383">
        <v>0</v>
      </c>
      <c r="L29" s="1383">
        <v>0</v>
      </c>
      <c r="M29" s="1383">
        <v>-698923.5</v>
      </c>
      <c r="O29" s="1384" t="s">
        <v>1849</v>
      </c>
      <c r="P29" s="1385">
        <v>429345017</v>
      </c>
      <c r="R29" s="1386" t="e">
        <f>H29+H20</f>
        <v>#REF!</v>
      </c>
      <c r="Y29" s="1387"/>
    </row>
    <row r="30" spans="1:32">
      <c r="A30" s="1338"/>
      <c r="B30" s="1338"/>
      <c r="C30" s="1338"/>
      <c r="D30" s="1338"/>
      <c r="E30" s="1338"/>
      <c r="F30" s="1338"/>
      <c r="G30" s="1338"/>
      <c r="H30" s="1340"/>
      <c r="I30" s="1338"/>
      <c r="J30" s="1338"/>
      <c r="K30" s="1338"/>
      <c r="L30" s="1338"/>
      <c r="M30" s="1338"/>
      <c r="Y30" s="1128"/>
    </row>
    <row r="31" spans="1:32">
      <c r="A31" s="1388" t="s">
        <v>1607</v>
      </c>
      <c r="B31" s="1338"/>
      <c r="C31" s="1338"/>
      <c r="D31" s="1389"/>
      <c r="E31" s="1338"/>
      <c r="F31" s="1338"/>
      <c r="G31" s="1338"/>
      <c r="H31" s="1340"/>
      <c r="I31" s="1338"/>
      <c r="J31" s="1390"/>
      <c r="K31" s="1390"/>
      <c r="L31" s="1390"/>
      <c r="M31" s="1390"/>
      <c r="Y31" s="1128"/>
    </row>
    <row r="32" spans="1:32">
      <c r="A32" s="1391" t="s">
        <v>1608</v>
      </c>
      <c r="B32" s="1338"/>
      <c r="C32" s="1338"/>
      <c r="D32" s="1389"/>
      <c r="E32" s="1383">
        <v>0</v>
      </c>
      <c r="F32" s="1383">
        <v>0</v>
      </c>
      <c r="G32" s="1383">
        <v>0</v>
      </c>
      <c r="H32" s="1357">
        <f>SUM(E32:G32)</f>
        <v>0</v>
      </c>
      <c r="I32" s="1338"/>
      <c r="J32" s="1383">
        <v>-45768</v>
      </c>
      <c r="K32" s="1383">
        <v>34794</v>
      </c>
      <c r="L32" s="1349">
        <v>0</v>
      </c>
      <c r="M32" s="1383">
        <v>0</v>
      </c>
      <c r="O32" s="1356" t="e">
        <f>M32-O43</f>
        <v>#REF!</v>
      </c>
      <c r="R32" s="1392"/>
      <c r="S32" s="1358"/>
      <c r="Y32" s="1128"/>
    </row>
    <row r="33" spans="1:25" ht="8.1" customHeight="1">
      <c r="A33" s="1338"/>
      <c r="B33" s="1338"/>
      <c r="C33" s="1338"/>
      <c r="D33" s="1389"/>
      <c r="E33" s="1357"/>
      <c r="F33" s="1357"/>
      <c r="G33" s="1357"/>
      <c r="H33" s="1357"/>
      <c r="I33" s="1357"/>
      <c r="J33" s="1357"/>
      <c r="K33" s="1357"/>
      <c r="L33" s="1357"/>
      <c r="M33" s="1357"/>
      <c r="Y33" s="1128"/>
    </row>
    <row r="34" spans="1:25">
      <c r="A34" s="1338" t="s">
        <v>1675</v>
      </c>
      <c r="B34" s="1338"/>
      <c r="C34" s="1338"/>
      <c r="D34" s="1389"/>
      <c r="E34" s="1365">
        <v>0</v>
      </c>
      <c r="F34" s="1365" t="e">
        <f>OCI!#REF!</f>
        <v>#REF!</v>
      </c>
      <c r="G34" s="1365" t="e">
        <f>OCI!#REF!</f>
        <v>#REF!</v>
      </c>
      <c r="H34" s="1365" t="e">
        <f>SUM(E34:G34)</f>
        <v>#REF!</v>
      </c>
      <c r="I34" s="1357"/>
      <c r="J34" s="1393">
        <v>0</v>
      </c>
      <c r="K34" s="1393">
        <f>56081-L34</f>
        <v>59121</v>
      </c>
      <c r="L34" s="1393">
        <v>-3040</v>
      </c>
      <c r="M34" s="1393" t="e">
        <f>OCI!#REF!</f>
        <v>#REF!</v>
      </c>
      <c r="R34" s="1341">
        <v>1688066</v>
      </c>
      <c r="S34" s="1341"/>
      <c r="Y34" s="1128"/>
    </row>
    <row r="35" spans="1:25">
      <c r="A35" s="1338" t="s">
        <v>1674</v>
      </c>
      <c r="B35" s="1338"/>
      <c r="C35" s="1338"/>
      <c r="D35" s="1389"/>
      <c r="E35" s="1369">
        <v>0</v>
      </c>
      <c r="F35" s="1369">
        <f>-66071-H18</f>
        <v>-80003</v>
      </c>
      <c r="G35" s="1369">
        <v>0</v>
      </c>
      <c r="H35" s="1369">
        <f>SUM(E35:G35)</f>
        <v>-80003</v>
      </c>
      <c r="I35" s="1357"/>
      <c r="J35" s="1394">
        <v>0</v>
      </c>
      <c r="K35" s="1394">
        <v>0</v>
      </c>
      <c r="L35" s="1394">
        <v>0</v>
      </c>
      <c r="M35" s="1394">
        <v>0</v>
      </c>
      <c r="R35" s="1341" t="e">
        <f>R34-M38</f>
        <v>#REF!</v>
      </c>
      <c r="S35" s="1341"/>
      <c r="Y35" s="1128">
        <v>0</v>
      </c>
    </row>
    <row r="36" spans="1:25">
      <c r="A36" s="1338" t="s">
        <v>1673</v>
      </c>
      <c r="B36" s="1338"/>
      <c r="C36" s="1338"/>
      <c r="D36" s="1338"/>
      <c r="E36" s="1395">
        <f>SUM(E34:E35)</f>
        <v>0</v>
      </c>
      <c r="F36" s="1395" t="e">
        <f>F34+F35</f>
        <v>#REF!</v>
      </c>
      <c r="G36" s="1395" t="e">
        <f>SUM(G34:G35)</f>
        <v>#REF!</v>
      </c>
      <c r="H36" s="1349" t="e">
        <f>SUM(H34:H35)</f>
        <v>#REF!</v>
      </c>
      <c r="I36" s="1340"/>
      <c r="J36" s="1396">
        <f>SUM(J34:J35)</f>
        <v>0</v>
      </c>
      <c r="K36" s="1396">
        <f>SUM(K34:K35)</f>
        <v>59121</v>
      </c>
      <c r="L36" s="1396">
        <f>SUM(L34:L35)</f>
        <v>-3040</v>
      </c>
      <c r="M36" s="1396" t="e">
        <f>SUM(M34:M35)</f>
        <v>#REF!</v>
      </c>
      <c r="O36" s="1334">
        <v>1349993</v>
      </c>
      <c r="P36" s="1356" t="e">
        <f>O36-H38</f>
        <v>#REF!</v>
      </c>
      <c r="R36" s="1334">
        <v>61270</v>
      </c>
      <c r="Y36" s="1128">
        <v>0</v>
      </c>
    </row>
    <row r="37" spans="1:25" ht="4.5" customHeight="1">
      <c r="A37" s="1338"/>
      <c r="B37" s="1338"/>
      <c r="C37" s="1338"/>
      <c r="D37" s="1338"/>
      <c r="E37" s="1397"/>
      <c r="F37" s="1397"/>
      <c r="G37" s="1397"/>
      <c r="H37" s="1397"/>
      <c r="I37" s="1340"/>
      <c r="J37" s="1397"/>
      <c r="K37" s="1397"/>
      <c r="L37" s="1397"/>
      <c r="M37" s="1397"/>
      <c r="Y37" s="1128">
        <v>-2668314</v>
      </c>
    </row>
    <row r="38" spans="1:25" s="1403" customFormat="1" ht="21" customHeight="1" thickBot="1">
      <c r="A38" s="1398" t="s">
        <v>794</v>
      </c>
      <c r="B38" s="1399"/>
      <c r="C38" s="1399"/>
      <c r="D38" s="1400"/>
      <c r="E38" s="1401">
        <f>E12+E20+E29+E36+E32</f>
        <v>798504</v>
      </c>
      <c r="F38" s="1401" t="e">
        <f>F12+F20+F29+F36+F32</f>
        <v>#REF!</v>
      </c>
      <c r="G38" s="1401" t="e">
        <f>G12+G20+G29+G36+G32</f>
        <v>#REF!</v>
      </c>
      <c r="H38" s="1401" t="e">
        <f>H12+H20+H29+H36+H32+0.8</f>
        <v>#REF!</v>
      </c>
      <c r="I38" s="1402"/>
      <c r="J38" s="1401">
        <f>J12+J20+J29+J36+J32</f>
        <v>2137850</v>
      </c>
      <c r="K38" s="1401">
        <f>K12+K20+K29+K36+K32</f>
        <v>188594</v>
      </c>
      <c r="L38" s="1401">
        <f>L12+L20+L29+L36+L32</f>
        <v>5020</v>
      </c>
      <c r="M38" s="1401" t="e">
        <f>M12+M20+M29+M36+M32</f>
        <v>#REF!</v>
      </c>
      <c r="O38" s="1032">
        <v>3105950</v>
      </c>
      <c r="P38" s="1404" t="e">
        <f>H38-O36</f>
        <v>#REF!</v>
      </c>
      <c r="R38" s="1403">
        <v>-63768</v>
      </c>
      <c r="V38" s="1404" t="e">
        <f>H38-BS!F30</f>
        <v>#REF!</v>
      </c>
      <c r="Y38" s="1095"/>
    </row>
    <row r="39" spans="1:25" ht="6" customHeight="1" thickTop="1">
      <c r="A39" s="1339"/>
      <c r="B39" s="1338"/>
      <c r="C39" s="1338"/>
      <c r="D39" s="1389"/>
      <c r="E39" s="1357"/>
      <c r="F39" s="1357"/>
      <c r="G39" s="1357"/>
      <c r="H39" s="1357"/>
      <c r="I39" s="1357"/>
      <c r="J39" s="1357"/>
      <c r="K39" s="1357"/>
      <c r="L39" s="1357"/>
      <c r="M39" s="1357"/>
      <c r="Y39" s="1128"/>
    </row>
    <row r="40" spans="1:25">
      <c r="A40" s="1338" t="s">
        <v>1609</v>
      </c>
      <c r="B40" s="1338"/>
      <c r="C40" s="1338"/>
      <c r="D40" s="1389"/>
      <c r="E40" s="1357"/>
      <c r="F40" s="1357"/>
      <c r="G40" s="1357"/>
      <c r="H40" s="1357"/>
      <c r="I40" s="1357"/>
      <c r="J40" s="1357"/>
      <c r="K40" s="1357"/>
      <c r="L40" s="1357"/>
      <c r="M40" s="1357"/>
      <c r="Y40" s="1128">
        <v>0</v>
      </c>
    </row>
    <row r="41" spans="1:25">
      <c r="A41" s="1338" t="s">
        <v>1610</v>
      </c>
      <c r="B41" s="1338"/>
      <c r="C41" s="1338"/>
      <c r="D41" s="1389"/>
      <c r="E41" s="1340"/>
      <c r="F41" s="1349">
        <v>149836</v>
      </c>
      <c r="G41" s="1357"/>
      <c r="H41" s="1340"/>
      <c r="I41" s="1357"/>
      <c r="J41" s="1357"/>
      <c r="K41" s="1338"/>
      <c r="L41" s="1357"/>
      <c r="M41" s="1383">
        <v>59471</v>
      </c>
      <c r="O41" s="1356">
        <v>-816888.99791570008</v>
      </c>
      <c r="P41" s="1334">
        <v>1688066</v>
      </c>
      <c r="Y41" s="1128"/>
    </row>
    <row r="42" spans="1:25">
      <c r="A42" s="1338" t="s">
        <v>1611</v>
      </c>
      <c r="B42" s="1338"/>
      <c r="C42" s="1338"/>
      <c r="D42" s="1389"/>
      <c r="E42" s="1340"/>
      <c r="F42" s="1405">
        <v>-3885</v>
      </c>
      <c r="G42" s="1357"/>
      <c r="H42" s="1340"/>
      <c r="I42" s="1357"/>
      <c r="J42" s="1357"/>
      <c r="K42" s="1338"/>
      <c r="L42" s="1357"/>
      <c r="M42" s="1406">
        <v>35208</v>
      </c>
      <c r="Y42" s="1128">
        <v>90777</v>
      </c>
    </row>
    <row r="43" spans="1:25">
      <c r="A43" s="1338"/>
      <c r="B43" s="1338"/>
      <c r="C43" s="1338"/>
      <c r="D43" s="1389"/>
      <c r="E43" s="1340"/>
      <c r="F43" s="1349">
        <v>145951</v>
      </c>
      <c r="G43" s="1357"/>
      <c r="H43" s="1340"/>
      <c r="I43" s="1357"/>
      <c r="J43" s="1357"/>
      <c r="K43" s="1338"/>
      <c r="L43" s="1357"/>
      <c r="M43" s="1383">
        <f>SUM(M41:M42)</f>
        <v>94679</v>
      </c>
      <c r="O43" s="1356" t="e">
        <f>M38-P41</f>
        <v>#REF!</v>
      </c>
      <c r="Y43" s="1334">
        <v>0</v>
      </c>
    </row>
    <row r="44" spans="1:25" ht="9" customHeight="1">
      <c r="A44" s="1338"/>
      <c r="B44" s="1338"/>
      <c r="C44" s="1338"/>
      <c r="D44" s="1389"/>
      <c r="E44" s="1340"/>
      <c r="F44" s="1383"/>
      <c r="G44" s="1357"/>
      <c r="H44" s="1340"/>
      <c r="I44" s="1357"/>
      <c r="J44" s="1357"/>
      <c r="K44" s="1338"/>
      <c r="L44" s="1357"/>
      <c r="M44" s="1407"/>
    </row>
    <row r="45" spans="1:25">
      <c r="A45" s="1408" t="s">
        <v>1612</v>
      </c>
      <c r="B45" s="1373"/>
      <c r="C45" s="1373"/>
      <c r="D45" s="1409"/>
      <c r="E45" s="1410"/>
      <c r="F45" s="1411"/>
      <c r="G45" s="1357"/>
      <c r="H45" s="1340"/>
      <c r="I45" s="1357"/>
      <c r="J45" s="1357"/>
      <c r="K45" s="1338"/>
      <c r="L45" s="1357"/>
      <c r="M45" s="1407"/>
    </row>
    <row r="46" spans="1:25">
      <c r="A46" s="1373" t="s">
        <v>1613</v>
      </c>
      <c r="B46" s="1373"/>
      <c r="C46" s="1373"/>
      <c r="D46" s="1409"/>
      <c r="E46" s="1410"/>
      <c r="F46" s="1412" t="e">
        <f>IS!#REF!</f>
        <v>#REF!</v>
      </c>
      <c r="G46" s="1357"/>
      <c r="H46" s="1340"/>
      <c r="I46" s="1357"/>
      <c r="J46" s="1357"/>
      <c r="K46" s="1338"/>
      <c r="L46" s="1357"/>
      <c r="M46" s="1413" t="e">
        <f>IS!#REF!</f>
        <v>#REF!</v>
      </c>
      <c r="Y46" s="1334">
        <v>1349993</v>
      </c>
    </row>
    <row r="47" spans="1:25">
      <c r="A47" s="1373" t="s">
        <v>1614</v>
      </c>
      <c r="B47" s="1373"/>
      <c r="C47" s="1373"/>
      <c r="D47" s="1409"/>
      <c r="E47" s="1410"/>
      <c r="F47" s="1414" t="e">
        <f>IS!#REF!</f>
        <v>#REF!</v>
      </c>
      <c r="G47" s="1415"/>
      <c r="H47" s="1340"/>
      <c r="I47" s="1357"/>
      <c r="J47" s="1357"/>
      <c r="K47" s="1338"/>
      <c r="L47" s="1357"/>
      <c r="M47" s="1416" t="e">
        <f>IS!#REF!</f>
        <v>#REF!</v>
      </c>
    </row>
    <row r="48" spans="1:25">
      <c r="A48" s="1373"/>
      <c r="B48" s="1373"/>
      <c r="C48" s="1373"/>
      <c r="D48" s="1409"/>
      <c r="E48" s="1410"/>
      <c r="F48" s="1417" t="e">
        <f>SUM(F46:F47)</f>
        <v>#REF!</v>
      </c>
      <c r="G48" s="1415"/>
      <c r="H48" s="1340"/>
      <c r="I48" s="1357"/>
      <c r="J48" s="1357"/>
      <c r="K48" s="1338"/>
      <c r="L48" s="1357"/>
      <c r="M48" s="1407" t="e">
        <f>SUM(M46:M47)</f>
        <v>#REF!</v>
      </c>
    </row>
    <row r="49" spans="1:15" ht="4.5" customHeight="1">
      <c r="A49" s="1338"/>
      <c r="B49" s="1338"/>
      <c r="C49" s="1338"/>
      <c r="D49" s="1389"/>
      <c r="E49" s="1415"/>
      <c r="F49" s="1402"/>
      <c r="G49" s="1415"/>
      <c r="H49" s="1340"/>
      <c r="I49" s="1415"/>
      <c r="J49" s="1415"/>
      <c r="K49" s="1338"/>
      <c r="L49" s="1415"/>
      <c r="M49" s="1418"/>
    </row>
    <row r="50" spans="1:15">
      <c r="A50" s="1419" t="s">
        <v>738</v>
      </c>
      <c r="B50" s="1338"/>
      <c r="C50" s="1338"/>
      <c r="D50" s="1389"/>
      <c r="E50" s="1415"/>
      <c r="F50" s="1420">
        <v>0</v>
      </c>
      <c r="G50" s="1415"/>
      <c r="H50" s="1340"/>
      <c r="I50" s="1415"/>
      <c r="J50" s="1415"/>
      <c r="K50" s="1338"/>
      <c r="L50" s="1415"/>
      <c r="M50" s="1421">
        <v>0</v>
      </c>
    </row>
    <row r="51" spans="1:15" ht="7.5" customHeight="1">
      <c r="A51" s="1422"/>
      <c r="B51" s="1338"/>
      <c r="C51" s="1338"/>
      <c r="D51" s="1389"/>
      <c r="E51" s="1415"/>
      <c r="F51" s="1423"/>
      <c r="G51" s="1415"/>
      <c r="H51" s="1340"/>
      <c r="I51" s="1415"/>
      <c r="J51" s="1415"/>
      <c r="K51" s="1338"/>
      <c r="L51" s="1415"/>
      <c r="M51" s="1421"/>
    </row>
    <row r="52" spans="1:15">
      <c r="A52" s="1424" t="s">
        <v>1615</v>
      </c>
      <c r="B52" s="1338"/>
      <c r="C52" s="1338"/>
      <c r="D52" s="1389"/>
      <c r="E52" s="1415"/>
      <c r="F52" s="1423"/>
      <c r="G52" s="1415"/>
      <c r="H52" s="1340"/>
      <c r="I52" s="1415"/>
      <c r="J52" s="1415"/>
      <c r="K52" s="1338"/>
      <c r="L52" s="1415"/>
      <c r="M52" s="1421"/>
    </row>
    <row r="53" spans="1:15">
      <c r="A53" s="1425" t="s">
        <v>1616</v>
      </c>
      <c r="B53" s="1338"/>
      <c r="C53" s="1338"/>
      <c r="D53" s="1389"/>
      <c r="E53" s="1415"/>
      <c r="F53" s="1420">
        <v>0</v>
      </c>
      <c r="G53" s="1415"/>
      <c r="H53" s="1340"/>
      <c r="I53" s="1415"/>
      <c r="J53" s="1415"/>
      <c r="K53" s="1338"/>
      <c r="L53" s="1415"/>
      <c r="M53" s="1421">
        <v>0</v>
      </c>
    </row>
    <row r="54" spans="1:15" ht="6.75" customHeight="1">
      <c r="A54" s="1338"/>
      <c r="B54" s="1338"/>
      <c r="C54" s="1338"/>
      <c r="D54" s="1389"/>
      <c r="E54" s="1415"/>
      <c r="F54" s="1415"/>
      <c r="G54" s="1415"/>
      <c r="H54" s="1340"/>
      <c r="I54" s="1415"/>
      <c r="J54" s="1415"/>
      <c r="K54" s="1338"/>
      <c r="L54" s="1415"/>
      <c r="M54" s="1418"/>
    </row>
    <row r="55" spans="1:15">
      <c r="A55" s="1338" t="str">
        <f>A35</f>
        <v>Distribution during the year</v>
      </c>
      <c r="B55" s="1338"/>
      <c r="C55" s="1338"/>
      <c r="D55" s="1389"/>
      <c r="E55" s="1357"/>
      <c r="F55" s="1420">
        <f>F35</f>
        <v>-80003</v>
      </c>
      <c r="G55" s="1357"/>
      <c r="H55" s="1340"/>
      <c r="I55" s="1357"/>
      <c r="J55" s="1357"/>
      <c r="K55" s="1338"/>
      <c r="L55" s="1357"/>
      <c r="M55" s="1421">
        <v>0</v>
      </c>
    </row>
    <row r="56" spans="1:15" ht="3" customHeight="1">
      <c r="A56" s="1338"/>
      <c r="B56" s="1338"/>
      <c r="C56" s="1338"/>
      <c r="D56" s="1389"/>
      <c r="E56" s="1357"/>
      <c r="F56" s="1357"/>
      <c r="G56" s="1357"/>
      <c r="H56" s="1340"/>
      <c r="I56" s="1357"/>
      <c r="J56" s="1357"/>
      <c r="K56" s="1338"/>
      <c r="L56" s="1357"/>
      <c r="M56" s="1407"/>
    </row>
    <row r="57" spans="1:15" s="1403" customFormat="1" ht="21" customHeight="1" thickBot="1">
      <c r="A57" s="1399" t="s">
        <v>759</v>
      </c>
      <c r="B57" s="1399"/>
      <c r="C57" s="1399"/>
      <c r="D57" s="1400"/>
      <c r="E57" s="1415"/>
      <c r="F57" s="1401" t="e">
        <f>F43+F48+F55</f>
        <v>#REF!</v>
      </c>
      <c r="G57" s="1415"/>
      <c r="H57" s="1426"/>
      <c r="I57" s="1415"/>
      <c r="J57" s="1415"/>
      <c r="K57" s="1399"/>
      <c r="L57" s="1415"/>
      <c r="M57" s="1427" t="e">
        <f>M43+M53+M48+M55</f>
        <v>#REF!</v>
      </c>
      <c r="O57" s="1404" t="e">
        <f>F57-F38</f>
        <v>#REF!</v>
      </c>
    </row>
    <row r="58" spans="1:15" ht="3.75" customHeight="1" thickTop="1">
      <c r="A58" s="1338"/>
      <c r="B58" s="1338"/>
      <c r="C58" s="1338"/>
      <c r="D58" s="1389"/>
      <c r="E58" s="1357"/>
      <c r="F58" s="1357"/>
      <c r="G58" s="1357"/>
      <c r="H58" s="1340"/>
      <c r="I58" s="1357"/>
      <c r="J58" s="1357"/>
      <c r="K58" s="1338"/>
      <c r="L58" s="1357"/>
      <c r="M58" s="1357"/>
    </row>
    <row r="59" spans="1:15">
      <c r="A59" s="1338" t="s">
        <v>759</v>
      </c>
      <c r="B59" s="1338"/>
      <c r="C59" s="1338"/>
      <c r="D59" s="1389"/>
      <c r="E59" s="1357"/>
      <c r="F59" s="1357"/>
      <c r="G59" s="1357"/>
      <c r="H59" s="1340"/>
      <c r="I59" s="1357"/>
      <c r="J59" s="1357"/>
      <c r="K59" s="1338"/>
      <c r="L59" s="1357"/>
      <c r="M59" s="1357"/>
    </row>
    <row r="60" spans="1:15">
      <c r="A60" s="1338" t="s">
        <v>1610</v>
      </c>
      <c r="B60" s="1338"/>
      <c r="C60" s="1338"/>
      <c r="D60" s="1389"/>
      <c r="E60" s="1357"/>
      <c r="F60" s="1349" t="e">
        <f>F62-F61</f>
        <v>#REF!</v>
      </c>
      <c r="G60" s="1357"/>
      <c r="H60" s="1340"/>
      <c r="I60" s="1357"/>
      <c r="J60" s="1357"/>
      <c r="K60" s="1340"/>
      <c r="L60" s="1357"/>
      <c r="M60" s="1349" t="e">
        <f>M62-M61</f>
        <v>#REF!</v>
      </c>
    </row>
    <row r="61" spans="1:15">
      <c r="A61" s="1338" t="s">
        <v>1611</v>
      </c>
      <c r="B61" s="1338"/>
      <c r="C61" s="1338"/>
      <c r="D61" s="1389"/>
      <c r="E61" s="1357"/>
      <c r="F61" s="1349" t="e">
        <f>IS!#REF!</f>
        <v>#REF!</v>
      </c>
      <c r="G61" s="1357"/>
      <c r="H61" s="1340"/>
      <c r="I61" s="1357"/>
      <c r="J61" s="1357"/>
      <c r="K61" s="1340"/>
      <c r="L61" s="1357"/>
      <c r="M61" s="1383">
        <v>2206.3000000000002</v>
      </c>
    </row>
    <row r="62" spans="1:15" s="1403" customFormat="1" ht="21" customHeight="1" thickBot="1">
      <c r="A62" s="1399"/>
      <c r="B62" s="1399"/>
      <c r="C62" s="1399"/>
      <c r="D62" s="1400"/>
      <c r="E62" s="1415"/>
      <c r="F62" s="1401" t="e">
        <f>F57</f>
        <v>#REF!</v>
      </c>
      <c r="G62" s="1415"/>
      <c r="H62" s="1426"/>
      <c r="I62" s="1415"/>
      <c r="J62" s="1415"/>
      <c r="K62" s="1399"/>
      <c r="L62" s="1415"/>
      <c r="M62" s="1428" t="e">
        <f>M57</f>
        <v>#REF!</v>
      </c>
    </row>
    <row r="63" spans="1:15" ht="8.1" customHeight="1" thickTop="1">
      <c r="A63" s="1338"/>
      <c r="B63" s="1338"/>
      <c r="C63" s="1338"/>
      <c r="D63" s="1389"/>
      <c r="E63" s="1357"/>
      <c r="F63" s="1357"/>
      <c r="G63" s="1357"/>
      <c r="H63" s="1340"/>
      <c r="I63" s="1357"/>
      <c r="J63" s="1357"/>
      <c r="K63" s="1338"/>
      <c r="L63" s="1338"/>
      <c r="M63" s="1338"/>
    </row>
    <row r="64" spans="1:15">
      <c r="A64" s="1338"/>
      <c r="B64" s="1338"/>
      <c r="C64" s="1338"/>
      <c r="D64" s="1389"/>
      <c r="E64" s="1338"/>
      <c r="F64" s="1340"/>
      <c r="G64" s="1349"/>
      <c r="H64" s="1349" t="s">
        <v>701</v>
      </c>
      <c r="I64" s="1349"/>
      <c r="J64" s="1349"/>
      <c r="K64" s="1349"/>
      <c r="L64" s="1349"/>
      <c r="M64" s="1349" t="s">
        <v>701</v>
      </c>
    </row>
    <row r="65" spans="1:13" ht="8.1" customHeight="1">
      <c r="A65" s="1338"/>
      <c r="B65" s="1338"/>
      <c r="C65" s="1338"/>
      <c r="D65" s="1389"/>
      <c r="E65" s="1357"/>
      <c r="F65" s="1340"/>
      <c r="G65" s="1357"/>
      <c r="H65" s="1357"/>
      <c r="I65" s="1357"/>
      <c r="J65" s="1357"/>
      <c r="K65" s="1338"/>
      <c r="L65" s="1338"/>
      <c r="M65" s="1338"/>
    </row>
    <row r="66" spans="1:13" ht="13.5" thickBot="1">
      <c r="A66" s="1338" t="s">
        <v>1930</v>
      </c>
      <c r="B66" s="1338"/>
      <c r="C66" s="1338"/>
      <c r="D66" s="1429"/>
      <c r="E66" s="1338"/>
      <c r="F66" s="1340"/>
      <c r="G66" s="1430"/>
      <c r="H66" s="1431">
        <f>BS!H43</f>
        <v>53.901499999999999</v>
      </c>
      <c r="I66" s="1430"/>
      <c r="J66" s="1338"/>
      <c r="K66" s="1338"/>
      <c r="L66" s="1338"/>
      <c r="M66" s="1432">
        <v>53.095700000000001</v>
      </c>
    </row>
    <row r="67" spans="1:13" ht="11.25" customHeight="1" thickTop="1">
      <c r="A67" s="1338"/>
      <c r="B67" s="1338"/>
      <c r="C67" s="1338"/>
      <c r="D67" s="1389"/>
      <c r="E67" s="1338"/>
      <c r="F67" s="1340"/>
      <c r="G67" s="1433"/>
      <c r="H67" s="1349"/>
      <c r="I67" s="1433"/>
      <c r="J67" s="1338"/>
      <c r="K67" s="1338"/>
      <c r="L67" s="1338"/>
      <c r="M67" s="1349"/>
    </row>
    <row r="68" spans="1:13" ht="13.5" thickBot="1">
      <c r="A68" s="1338" t="s">
        <v>1929</v>
      </c>
      <c r="B68" s="1338"/>
      <c r="C68" s="1338"/>
      <c r="D68" s="1389"/>
      <c r="E68" s="1338"/>
      <c r="F68" s="1340"/>
      <c r="G68" s="1434"/>
      <c r="H68" s="1431">
        <f>BS!F43</f>
        <v>55.588345751518439</v>
      </c>
      <c r="I68" s="1435"/>
      <c r="J68" s="1338"/>
      <c r="K68" s="1338"/>
      <c r="L68" s="1338"/>
      <c r="M68" s="1432">
        <v>53.886299999999999</v>
      </c>
    </row>
    <row r="69" spans="1:13" ht="13.5" thickTop="1">
      <c r="A69" s="1338"/>
      <c r="B69" s="1338"/>
      <c r="C69" s="1338"/>
      <c r="D69" s="1389"/>
      <c r="E69" s="1433"/>
      <c r="F69" s="1433"/>
      <c r="G69" s="1433"/>
      <c r="H69" s="1340"/>
      <c r="I69" s="1433"/>
      <c r="J69" s="1357"/>
      <c r="K69" s="1338"/>
      <c r="L69" s="1338"/>
      <c r="M69" s="1338"/>
    </row>
    <row r="70" spans="1:13">
      <c r="E70" s="1334"/>
      <c r="F70" s="1334"/>
      <c r="G70" s="1334"/>
      <c r="H70" s="1334"/>
      <c r="I70" s="1334"/>
      <c r="J70" s="1334"/>
      <c r="M70" s="1334"/>
    </row>
    <row r="71" spans="1:13">
      <c r="A71" s="1334" t="str">
        <f>OCI!A17</f>
        <v>The annexed notes from 1 to 19 form an integral part of these condensed interim financial statements.</v>
      </c>
      <c r="J71" s="1334"/>
      <c r="M71" s="1334"/>
    </row>
    <row r="72" spans="1:13">
      <c r="J72" s="1334"/>
      <c r="M72" s="1334"/>
    </row>
    <row r="73" spans="1:13">
      <c r="C73" s="1436"/>
      <c r="E73" s="1334"/>
      <c r="F73" s="1334"/>
      <c r="G73" s="1334"/>
      <c r="H73" s="1334"/>
      <c r="I73" s="1334"/>
      <c r="J73" s="1334"/>
      <c r="M73" s="1334"/>
    </row>
    <row r="74" spans="1:13">
      <c r="E74" s="1437"/>
      <c r="F74" s="1437"/>
      <c r="G74" s="1437"/>
      <c r="H74" s="1437"/>
      <c r="I74" s="1437"/>
      <c r="J74" s="1334"/>
      <c r="M74" s="1334"/>
    </row>
    <row r="75" spans="1:13" s="1124" customFormat="1">
      <c r="A75" s="1334"/>
      <c r="B75" s="1334"/>
      <c r="C75" s="1334"/>
      <c r="D75" s="1334"/>
      <c r="E75" s="1334"/>
      <c r="F75" s="1334"/>
      <c r="G75" s="1334"/>
      <c r="H75" s="1334"/>
      <c r="I75" s="1334"/>
      <c r="J75" s="1334"/>
    </row>
    <row r="76" spans="1:13" s="1124" customFormat="1">
      <c r="A76" s="1334"/>
      <c r="B76" s="1334"/>
      <c r="C76" s="1334"/>
      <c r="D76" s="1334"/>
      <c r="E76" s="1334"/>
      <c r="F76" s="1334"/>
      <c r="G76" s="1334"/>
      <c r="H76" s="1334"/>
      <c r="I76" s="1334"/>
      <c r="J76" s="1334"/>
    </row>
    <row r="77" spans="1:13" s="1124" customFormat="1">
      <c r="A77" s="1334"/>
      <c r="B77" s="1334"/>
      <c r="C77" s="1334"/>
      <c r="D77" s="1334"/>
      <c r="E77" s="1334"/>
      <c r="F77" s="1334"/>
      <c r="G77" s="1334"/>
      <c r="H77" s="1334"/>
      <c r="I77" s="1334"/>
      <c r="J77" s="1334"/>
    </row>
    <row r="78" spans="1:13" s="1124" customFormat="1">
      <c r="A78" s="1334"/>
      <c r="B78" s="1334"/>
      <c r="C78" s="1334"/>
      <c r="D78" s="1334"/>
      <c r="E78" s="1358"/>
      <c r="F78" s="1358"/>
      <c r="G78" s="1358"/>
      <c r="H78" s="1358"/>
      <c r="I78" s="1358"/>
      <c r="J78" s="1358"/>
    </row>
    <row r="79" spans="1:13" s="1124" customFormat="1">
      <c r="A79" s="1334"/>
      <c r="B79" s="1334"/>
      <c r="C79" s="1334"/>
      <c r="D79" s="1334"/>
      <c r="E79" s="1358"/>
      <c r="F79" s="1358"/>
      <c r="G79" s="1358"/>
      <c r="H79" s="1358"/>
      <c r="I79" s="1358"/>
      <c r="J79" s="1358"/>
    </row>
    <row r="80" spans="1:13" s="1124" customFormat="1">
      <c r="A80" s="1334"/>
      <c r="B80" s="1334"/>
      <c r="C80" s="1334"/>
      <c r="D80" s="1334"/>
      <c r="E80" s="1358"/>
      <c r="F80" s="1358"/>
      <c r="G80" s="1358"/>
      <c r="H80" s="1358"/>
      <c r="I80" s="1358"/>
      <c r="J80" s="1358"/>
    </row>
    <row r="81" spans="1:13" s="1124" customFormat="1">
      <c r="A81" s="1334"/>
      <c r="B81" s="1334"/>
      <c r="C81" s="1334"/>
      <c r="D81" s="1334"/>
      <c r="E81" s="1358"/>
      <c r="F81" s="1358"/>
      <c r="G81" s="1358"/>
      <c r="H81" s="1358"/>
      <c r="I81" s="1358"/>
      <c r="J81" s="1358"/>
    </row>
    <row r="82" spans="1:13" s="1124" customFormat="1">
      <c r="A82" s="1334"/>
      <c r="B82" s="1334"/>
      <c r="C82" s="1334"/>
      <c r="D82" s="1334"/>
      <c r="E82" s="1358"/>
      <c r="F82" s="1358"/>
      <c r="G82" s="1358"/>
      <c r="H82" s="1358"/>
      <c r="I82" s="1358"/>
      <c r="J82" s="1358"/>
    </row>
    <row r="83" spans="1:13">
      <c r="M83" s="1334"/>
    </row>
  </sheetData>
  <mergeCells count="5">
    <mergeCell ref="E5:M5"/>
    <mergeCell ref="E6:M6"/>
    <mergeCell ref="E7:H7"/>
    <mergeCell ref="J7:M7"/>
    <mergeCell ref="E8:M8"/>
  </mergeCells>
  <pageMargins left="0.67" right="0.41" top="0.52" bottom="0.24" header="0.3" footer="0.16"/>
  <pageSetup scale="74"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A r r a y O f S t r i n g   x m l n s : x s d = " h t t p : / / w w w . w 3 . o r g / 2 0 0 1 / X M L S c h e m a "   x m l n s : x s i = " h t t p : / / w w w . w 3 . o r g / 2 0 0 1 / X M L S c h e m a - i n s t a n c e " / > 
</file>

<file path=customXml/item2.xml>��< ? x m l   v e r s i o n = " 1 . 0 "   e n c o d i n g = " u t f - 1 6 " ? > < L e a d S h e e t P a r a m s   x m l n s : x s d = " h t t p : / / w w w . w 3 . o r g / 2 0 0 1 / X M L S c h e m a "   x m l n s : x s i = " h t t p : / / w w w . w 3 . o r g / 2 0 0 1 / X M L S c h e m a - i n s t a n c e " >  
     < I s M a p p e d T o D e t a i l E n g L e v e l > f a l s e < / I s M a p p e d T o D e t a i l E n g L e v e l >  
     < T B P a i I D > 2 2 8 5 9 4 7 1 0 2 1 0 0 0 0 0 0 3 7 < / T B P a i I D >  
     < E n g a g e m e n t I D > 5 0 0 0 0 0 1 2 5 3 < / E n g a g e m e n t I D >  
     < T a r g e t C h a r t I D > - 7 3 7 9 8 6 8 2 0 0 9 9 9 9 9 8 6 9 6 < / T a r g e t C h a r t I D >  
     < C o m p a r i s o n C o l u m n >  
         < F i e l d N a m e > P r i o r P e r i o d 1 B a l a n c e < / F i e l d N a m e >  
         < U s e r D i s p l a y N a m e > ' 2 0 1 7 < / U s e r D i s p l a y N a m e >  
     < / C o m p a r i s o n C o l u m n >  
     < U s e r S e l e c t e d B a l a n c e C o l u m n s / >  
     < L e v e l > D e t a i l < / L e v e l >  
     < R o u n d e d > t r u e < / R o u n d e d >  
     < C o m b i n e d > t r u e < / C o m b i n e d >  
     < T a r g e t A c c o u n t I n f o L i s t >  
         < A c c o u n t I n f o >  
             < I D > - 7 3 7 9 8 6 8 2 0 0 9 9 9 9 9 8 6 7 5 < / I D >  
             < N a m e > B a n k   B a l a n c e s < / N a m e >  
             < N u m b e r > 5 1 1 0 . 1 < / N u m b e r >  
             < I s L i n k e d > f a l s e < / I s L i n k e d >  
             < C h a r t I D > - 7 3 7 9 8 6 8 2 0 0 9 9 9 9 9 8 6 9 6 < / C h a r t I D >  
             < S e q u e n c e > 0 < / S e q u e n c e >  
         < / A c c o u n t I n f o >  
         < A c c o u n t I n f o >  
             < I D > - 7 3 7 9 8 6 8 2 0 0 9 9 9 9 9 8 6 7 4 < / I D >  
             < N a m e > R e c e i v a b l e   a g a i n s t   s a l e   o f   i n v e s t m e n t < / N a m e >  
             < N u m b e r > 5 1 2 0 . 1 < / N u m b e r >  
             < I s L i n k e d > f a l s e < / I s L i n k e d >  
             < C h a r t I D > - 7 3 7 9 8 6 8 2 0 0 9 9 9 9 9 8 6 9 6 < / C h a r t I D >  
             < S e q u e n c e > 0 < / S e q u e n c e >  
         < / A c c o u n t I n f o >  
         < A c c o u n t I n f o >  
             < I D > 2 4 7 1 7 0 1 8 2 8 3 0 0 0 0 0 1 3 4 < / I D >  
             < N a m e > R e c e i v a b l e   a g a i n s t   M a r g i n   T r a d i n g   S y s t e m   T r a n s a c t i o n s < / N a m e >  
             < N u m b e r > 5 1 2 0 . 1 A < / N u m b e r >  
             < I s L i n k e d > f a l s e < / I s L i n k e d >  
             < C h a r t I D > - 7 3 7 9 8 6 8 2 0 0 9 9 9 9 9 8 6 9 6 < / C h a r t I D >  
             < S e q u e n c e > 0 < / S e q u e n c e >  
         < / A c c o u n t I n f o >  
         < A c c o u n t I n f o >  
             < I D > - 7 3 7 9 8 6 8 2 0 0 9 9 9 9 9 8 6 7 3 < / I D >  
             < N a m e > T e r m   F i n a n c e   C e r t i f i c a t e s   -   H F T < / N a m e >  
             < N u m b e r > 5 1 3 0 . 1 < / N u m b e r >  
             < I s L i n k e d > f a l s e < / I s L i n k e d >  
             < C h a r t I D > - 7 3 7 9 8 6 8 2 0 0 9 9 9 9 9 8 6 9 6 < / C h a r t I D >  
             < S e q u e n c e > 0 < / S e q u e n c e >  
         < / A c c o u n t I n f o >  
         < A c c o u n t I n f o >  
             < I D > 2 2 9 9 7 6 8 4 7 4 9 0 0 0 1 5 8 2 6 < / I D >  
             < N a m e > T e r m   F i n a n c e   C e r t i f i c a t e s   -   A F S < / N a m e >  
             < N u m b e r > 5 1 3 0 . 1 A < / N u m b e r >  
             < I s L i n k e d > f a l s e < / I s L i n k e d >  
             < C h a r t I D > - 7 3 7 9 8 6 8 2 0 0 9 9 9 9 9 8 6 9 6 < / C h a r t I D >  
             < S e q u e n c e > 0 < / S e q u e n c e >  
         < / A c c o u n t I n f o >  
         < A c c o u n t I n f o >  
             < I D > - 7 3 7 9 8 6 8 2 0 0 9 9 9 9 9 8 6 7 1 < / I D >  
             < N a m e > G o v e r n m e n t   s e c u r i t i e s   -   H F T < / N a m e >  
             < N u m b e r > 5 1 3 0 . 3 < / N u m b e r >  
             < I s L i n k e d > f a l s e < / I s L i n k e d >  
             < C h a r t I D > - 7 3 7 9 8 6 8 2 0 0 9 9 9 9 9 8 6 9 6 < / C h a r t I D >  
             < S e q u e n c e > 0 < / S e q u e n c e >  
         < / A c c o u n t I n f o >  
         < A c c o u n t I n f o >  
             < I D > 2 2 9 9 7 6 8 4 7 4 9 0 0 0 1 5 8 2 3 < / I D >  
             < N a m e > G o v e r n m e n t   s e c u r i t i e s   -   A F S < / N a m e >  
             < N u m b e r > 5 1 3 0 . 3 A < / N u m b e r >  
             < I s L i n k e d > f a l s e < / I s L i n k e d >  
             < C h a r t I D > - 7 3 7 9 8 6 8 2 0 0 9 9 9 9 9 8 6 9 6 < / C h a r t I D >  
             < S e q u e n c e > 0 < / S e q u e n c e >  
         < / A c c o u n t I n f o >  
         < A c c o u n t I n f o >  
             < I D > - 7 3 7 9 8 6 8 2 0 0 9 9 9 9 9 8 5 8 2 < / I D >  
             < N a m e > I n v e s t m e n t   i n   E q u i t y   S e c u r i t i e s   -   H F T < / N a m e >  
             < N u m b e r > 5 1 3 0 . 4 < / N u m b e r >  
             < I s L i n k e d > f a l s e < / I s L i n k e d >  
             < C h a r t I D > - 7 3 7 9 8 6 8 2 0 0 9 9 9 9 9 8 6 9 6 < / C h a r t I D >  
             < S e q u e n c e > 0 < / S e q u e n c e >  
         < / A c c o u n t I n f o >  
         < A c c o u n t I n f o >  
             < I D > 2 4 7 1 7 0 1 8 2 8 3 0 0 0 0 0 1 3 8 < / I D >  
             < N a m e > C o m m e r c i a l   P a p e r s   -   H F T < / N a m e >  
             < N u m b e r > 5 1 3 0 . 5 < / N u m b e r >  
             < I s L i n k e d > f a l s e < / I s L i n k e d >  
             < C h a r t I D > - 7 3 7 9 8 6 8 2 0 0 9 9 9 9 9 8 6 9 6 < / C h a r t I D >  
             < S e q u e n c e > 0 < / S e q u e n c e >  
         < / A c c o u n t I n f o >  
         < A c c o u n t I n f o >  
             < I D > - 7 3 7 9 8 6 8 2 0 0 9 9 9 9 9 8 6 7 0 < / I D >  
             < N a m e > I n v e s t m e n t   i n   T D R   -   A F S < / N a m e >  
             < N u m b e r > 5 1 4 0 . 1 < / N u m b e r >  
             < I s L i n k e d > f a l s e < / I s L i n k e d >  
             < C h a r t I D > - 7 3 7 9 8 6 8 2 0 0 9 9 9 9 9 8 6 9 6 < / C h a r t I D >  
             < S e q u e n c e > 0 < / S e q u e n c e >  
         < / A c c o u n t I n f o >  
         < A c c o u n t I n f o >  
             < I D > - 7 3 7 9 8 6 8 2 0 0 9 9 9 9 9 8 6 6 9 < / I D >  
             < N a m e > I n v e s t m e n t   i n   F u t u r e s < / N a m e >  
             < N u m b e r > 5 1 5 0 . 1 < / N u m b e r >  
             < I s L i n k e d > f a l s e < / I s L i n k e d >  
             < C h a r t I D > - 7 3 7 9 8 6 8 2 0 0 9 9 9 9 9 8 6 9 6 < / C h a r t I D >  
             < S e q u e n c e > 0 < / S e q u e n c e >  
         < / A c c o u n t I n f o >  
         < A c c o u n t I n f o >  
             < I D > - 7 3 7 9 8 6 8 2 0 0 9 9 9 9 9 8 6 6 8 < / I D >  
             < N a m e > D i v i d e n d   r e c e i v a b l e   o n   e q u i t y   s e c u r i t i e s < / N a m e >  
             < N u m b e r > 5 1 6 0 . 1 < / N u m b e r >  
             < I s L i n k e d > f a l s e < / I s L i n k e d >  
             < C h a r t I D > - 7 3 7 9 8 6 8 2 0 0 9 9 9 9 9 8 6 9 6 < / C h a r t I D >  
             < S e q u e n c e > 0 < / S e q u e n c e >  
         < / A c c o u n t I n f o >  
         < A c c o u n t I n f o >  
             < I D > 2 2 9 9 7 6 8 4 7 4 9 0 0 0 1 5 8 3 5 < / I D >  
             < N a m e > P r o f i t   r e c e i v a b l e   o n   b a n k   d e p o s i t s < / N a m e >  
             < N u m b e r > 5 1 6 0 . 2 < / N u m b e r >  
             < I s L i n k e d > f a l s e < / I s L i n k e d >  
             < C h a r t I D > - 7 3 7 9 8 6 8 2 0 0 9 9 9 9 9 8 6 9 6 < / C h a r t I D >  
             < S e q u e n c e > 0 < / S e q u e n c e >  
         < / A c c o u n t I n f o >  
         < A c c o u n t I n f o >  
             < I D > 2 2 9 9 7 6 8 4 7 4 9 0 0 0 1 5 8 3 4 < / I D >  
             < N a m e > P r o f i t   r e c e i v a b l e   o n   d e b t   s e c u r i t i e s < / N a m e >  
             < N u m b e r > 5 1 6 0 . 3 < / N u m b e r >  
             < I s L i n k e d > f a l s e < / I s L i n k e d >  
             < C h a r t I D > - 7 3 7 9 8 6 8 2 0 0 9 9 9 9 9 8 6 9 6 < / C h a r t I D >  
             < S e q u e n c e > 0 < / S e q u e n c e >  
         < / A c c o u n t I n f o >  
         < A c c o u n t I n f o >  
             < I D > 2 2 9 9 7 6 8 4 7 4 9 0 0 0 1 5 8 3 3 < / I D >  
             < N a m e > P r o f i t   r e c e i v a b l e   o n   g o v e r n m e n t   s e c u r i t i e s < / N a m e >  
             < N u m b e r > 5 1 6 0 . 4 < / N u m b e r >  
             < I s L i n k e d > f a l s e < / I s L i n k e d >  
             < C h a r t I D > - 7 3 7 9 8 6 8 2 0 0 9 9 9 9 9 8 6 9 6 < / C h a r t I D >  
             < S e q u e n c e > 0 < / S e q u e n c e >  
         < / A c c o u n t I n f o >  
         < A c c o u n t I n f o >  
             < I D > 2 2 9 9 7 6 8 4 7 4 9 0 0 0 1 5 8 3 2 < / I D >  
             < N a m e > P r o f i t   r e c e i v a b l e   o n   t e r m   d e p o s i t   r e c e i p t s < / N a m e >  
             < N u m b e r > 5 1 6 0 . 5 < / N u m b e r >  
             < I s L i n k e d > f a l s e < / I s L i n k e d >  
             < C h a r t I D > - 7 3 7 9 8 6 8 2 0 0 9 9 9 9 9 8 6 9 6 < / C h a r t I D >  
             < S e q u e n c e > 0 < / S e q u e n c e >  
         < / A c c o u n t I n f o >  
         < A c c o u n t I n f o >  
             < I D > 2 4 7 1 7 0 1 8 2 8 3 0 0 0 0 0 1 3 2 < / I D >  
             < N a m e > P r o f i t   r e c e i v a b l e   a g a i n s t   M T S < / N a m e >  
             < N u m b e r > 5 1 6 0 . 6 < / N u m b e r >  
             < I s L i n k e d > f a l s e < / I s L i n k e d >  
             < C h a r t I D > - 7 3 7 9 8 6 8 2 0 0 9 9 9 9 9 8 6 9 6 < / C h a r t I D >  
             < S e q u e n c e > 0 < / S e q u e n c e >  
         < / A c c o u n t I n f o >  
         < A c c o u n t I n f o >  
             < I D > - 7 3 7 9 8 6 8 2 0 0 9 9 9 9 9 8 6 6 7 < / I D >  
             < N a m e > D e p o s i t s ,   p r e p a y m e n t s   a n d   o t h e r   r e c e i v a b l e s < / N a m e >  
             < N u m b e r > 5 1 7 0 . 1 < / N u m b e r >  
             < I s L i n k e d > f a l s e < / I s L i n k e d >  
             < C h a r t I D > - 7 3 7 9 8 6 8 2 0 0 9 9 9 9 9 8 6 9 6 < / C h a r t I D >  
             < S e q u e n c e > 0 < / S e q u e n c e >  
         < / A c c o u n t I n f o >  
         < A c c o u n t I n f o >  
             < I D > - 7 3 7 9 8 6 8 2 0 0 9 9 9 9 9 8 5 8 1 < / I D >  
             < N a m e > A d v a n c e   T a x < / N a m e >  
             < N u m b e r > 5 1 7 0 . 2 < / N u m b e r >  
             < I s L i n k e d > f a l s e < / I s L i n k e d >  
             < C h a r t I D > - 7 3 7 9 8 6 8 2 0 0 9 9 9 9 9 8 6 9 6 < / C h a r t I D >  
             < S e q u e n c e > 0 < / S e q u e n c e >  
         < / A c c o u n t I n f o >  
         < A c c o u n t I n f o >  
             < I D > - 7 3 7 9 8 6 8 2 0 0 9 9 9 9 9 8 5 8 0 < / I D >  
             < N a m e > D e p o s i t s   w i t h   N C C P L < / N a m e >  
             < N u m b e r > 5 1 7 0 . 3 < / N u m b e r >  
             < I s L i n k e d > f a l s e < / I s L i n k e d >  
             < C h a r t I D > - 7 3 7 9 8 6 8 2 0 0 9 9 9 9 9 8 6 9 6 < / C h a r t I D >  
             < S e q u e n c e > 0 < / S e q u e n c e >  
         < / A c c o u n t I n f o >  
         < A c c o u n t I n f o >  
             < I D > - 7 3 7 9 8 6 8 2 0 0 9 9 9 9 9 8 5 7 9 < / I D >  
             < N a m e > D e p o s i t s   w i t h   C D C < / N a m e >  
             < N u m b e r > 5 1 7 0 . 4 < / N u m b e r >  
             < I s L i n k e d > f a l s e < / I s L i n k e d >  
             < C h a r t I D > - 7 3 7 9 8 6 8 2 0 0 9 9 9 9 9 8 6 9 6 < / C h a r t I D >  
             < S e q u e n c e > 0 < / S e q u e n c e >  
         < / A c c o u n t I n f o >  
         < A c c o u n t I n f o >  
             < I D > - 7 3 7 9 8 6 8 2 0 0 9 9 9 9 9 8 5 7 8 < / I D >  
             < N a m e > M a r g i n   a g a i n s t   T F C < / N a m e >  
             < N u m b e r > 5 1 7 0 . 5 < / N u m b e r >  
             < I s L i n k e d > f a l s e < / I s L i n k e d >  
             < C h a r t I D > - 7 3 7 9 8 6 8 2 0 0 9 9 9 9 9 8 6 9 6 < / C h a r t I D >  
             < S e q u e n c e > 0 < / S e q u e n c e >  
         < / A c c o u n t I n f o >  
         < A c c o u n t I n f o >  
             < I D > 2 4 7 1 7 0 1 8 2 8 3 0 0 0 0 0 1 3 5 < / I D >  
             < N a m e > P R E P A Y M E N T   O F   N C C P L   A G A I N S T   M A R G I N   T R A D I N G   S Y S T E M < / N a m e >  
             < N u m b e r > 5 1 7 0 . 5 A < / N u m b e r >  
             < I s L i n k e d > f a l s e < / I s L i n k e d >  
             < C h a r t I D > - 7 3 7 9 8 6 8 2 0 0 9 9 9 9 9 8 6 9 6 < / C h a r t I D >  
             < S e q u e n c e > 0 < / S e q u e n c e >  
         < / A c c o u n t I n f o >  
         < A c c o u n t I n f o >  
             < I D > - 7 3 7 9 8 6 8 2 0 0 9 9 9 9 9 8 5 7 7 < / I D >  
             < N a m e > P r e p a y m e n t s < / N a m e >  
             < N u m b e r > 5 1 7 0 . 6 < / N u m b e r >  
             < I s L i n k e d > f a l s e < / I s L i n k e d >  
             < C h a r t I D > - 7 3 7 9 8 6 8 2 0 0 9 9 9 9 9 8 6 9 6 < / C h a r t I D >  
             < S e q u e n c e > 0 < / S e q u e n c e >  
         < / A c c o u n t I n f o >  
         < A c c o u n t I n f o >  
             < I D > 2 2 9 9 7 6 8 4 7 4 9 0 0 0 1 5 8 4 3 < / I D >  
             < N a m e > R e c e i v a b l e   f r o m   N a t i o n a l   C l e a r i n g   C o m p n a y   o f   P a k i s t a n < / N a m e >  
             < N u m b e r > 5 1 7 0 . 7 < / N u m b e r >  
             < I s L i n k e d > f a l s e < / I s L i n k e d >  
             < C h a r t I D > - 7 3 7 9 8 6 8 2 0 0 9 9 9 9 9 8 6 9 6 < / C h a r t I D >  
             < S e q u e n c e > 0 < / S e q u e n c e >  
         < / A c c o u n t I n f o >  
         < A c c o u n t I n f o >  
             < I D > - 7 3 7 9 8 6 8 2 0 0 9 9 9 9 9 8 5 9 7 < / I D >  
             < N a m e > P r e l i m i n a r y   e x p e n s e s   a n d   f l o a t a t i o n   c o s t s ,   a n d   O t h e r   A d v a n c e s < / N a m e >  
             < N u m b e r > 5 1 8 0 - 1 < / N u m b e r >  
             < I s L i n k e d > f a l s e < / I s L i n k e d >  
             < C h a r t I D > - 7 3 7 9 8 6 8 2 0 0 9 9 9 9 9 8 6 9 6 < / C h a r t I D >  
             < S e q u e n c e > 0 < / S e q u e n c e >  
         < / A c c o u n t I n f o >  
         < A c c o u n t I n f o >  
             < I D > - 7 3 7 9 8 6 8 2 0 0 9 9 9 9 9 8 6 6 6 < / I D >  
             < N a m e > P a y a b l e   t o   M a n a g e m e n t   C o m p a n y < / N a m e >  
             < N u m b e r > 6 1 1 0 . 1 < / N u m b e r >  
             < I s L i n k e d > f a l s e < / I s L i n k e d >  
             < C h a r t I D > - 7 3 7 9 8 6 8 2 0 0 9 9 9 9 9 8 6 9 6 < / C h a r t I D >  
             < S e q u e n c e > 0 < / S e q u e n c e >  
         < / A c c o u n t I n f o >  
         < A c c o u n t I n f o >  
             < I D > - 7 3 7 9 8 6 8 2 0 0 9 9 9 9 9 8 6 6 5 < / I D >  
             < N a m e > P a y a b l e   t o   C e n t r a l   D e p o s i t o r y   C o m p a n y   o f   P a k i s t a n   L i m i t e d   -   T r u s t e e < / N a m e >  
             < N u m b e r > 6 1 2 0 . 1 < / N u m b e r >  
             < I s L i n k e d > f a l s e < / I s L i n k e d >  
             < C h a r t I D > - 7 3 7 9 8 6 8 2 0 0 9 9 9 9 9 8 6 9 6 < / C h a r t I D >  
             < S e q u e n c e > 0 < / S e q u e n c e >  
         < / A c c o u n t I n f o >  
         < A c c o u n t I n f o >  
             < I D > - 7 3 7 9 8 6 8 2 0 0 9 9 9 9 9 8 6 6 4 < / I D >  
             < N a m e > P a y a b l e   t o   S e c u r i t i e s   a n d   E x c h a n g e   C o m m i s s i o n < / N a m e >  
             < N u m b e r > 6 1 3 0 . 1 < / N u m b e r >  
             < I s L i n k e d > f a l s e < / I s L i n k e d >  
             < C h a r t I D > - 7 3 7 9 8 6 8 2 0 0 9 9 9 9 9 8 6 9 6 < / C h a r t I D >  
             < S e q u e n c e > 0 < / S e q u e n c e >  
         < / A c c o u n t I n f o >  
         < A c c o u n t I n f o >  
             < I D > - 7 3 7 9 8 6 8 2 0 0 9 9 9 9 9 8 6 6 3 < / I D >  
             < N a m e > P a y a b l e   a g a i n s t   r e d e m p t i o n   o f   u n i t s < / N a m e >  
             < N u m b e r > 6 1 4 0 . 1 < / N u m b e r >  
             < I s L i n k e d > f a l s e < / I s L i n k e d >  
             < C h a r t I D > - 7 3 7 9 8 6 8 2 0 0 9 9 9 9 9 8 6 9 6 < / C h a r t I D >  
             < S e q u e n c e > 0 < / S e q u e n c e >  
         < / A c c o u n t I n f o >  
         < A c c o u n t I n f o >  
             < I D > 2 4 7 1 7 0 1 8 2 8 3 0 0 0 0 0 1 3 1 < / I D >  
             < N a m e > P A Y A B L E   A G A I N S T   P U R C H A S E   O F   E Q U I T Y   S E C U R I T I E S < / N a m e >  
             < N u m b e r > 6 1 4 0 . 1 A < / N u m b e r >  
             < I s L i n k e d > f a l s e < / I s L i n k e d >  
             < C h a r t I D > - 7 3 7 9 8 6 8 2 0 0 9 9 9 9 9 8 6 9 6 < / C h a r t I D >  
             < S e q u e n c e > 0 < / S e q u e n c e >  
         < / A c c o u n t I n f o >  
         < A c c o u n t I n f o >  
             < I D > - 7 3 7 9 8 6 8 2 0 0 9 9 9 9 9 8 6 6 2 < / I D >  
             < N a m e > U n c l a i m e d   d i v i d e n d < / N a m e >  
             < N u m b e r > 6 1 5 0 . 1 < / N u m b e r >  
             < I s L i n k e d > f a l s e < / I s L i n k e d >  
             < C h a r t I D > - 7 3 7 9 8 6 8 2 0 0 9 9 9 9 9 8 6 9 6 < / C h a r t I D >  
             < S e q u e n c e > 0 < / S e q u e n c e >  
         < / A c c o u n t I n f o >  
         < A c c o u n t I n f o >  
             < I D > - 7 3 7 9 8 6 8 2 0 0 9 9 9 9 9 8 6 6 1 < / I D >  
             < N a m e > A c c r u e d   e x p e n s e s   a n d   o t h e r   l i a b i l i t i e s < / N a m e >  
             < N u m b e r > 6 1 6 0 . 1 < / N u m b e r >  
             < I s L i n k e d > f a l s e < / I s L i n k e d >  
             < C h a r t I D > - 7 3 7 9 8 6 8 2 0 0 9 9 9 9 9 8 6 9 6 < / C h a r t I D >  
             < S e q u e n c e > 0 < / S e q u e n c e >  
         < / A c c o u n t I n f o >  
         < A c c o u n t I n f o >  
             < I D > 2 4 7 1 7 0 1 8 2 8 3 0 0 0 0 0 1 3 3 < / I D >  
             < N a m e > P a y a b l e   A g a i n s t   E x p o s u r e   I n   M a g i n   T r a d i n g   S y s t e m < / N a m e >  
             < N u m b e r > 6 1 6 0 . 1 A < / N u m b e r >  
             < I s L i n k e d > f a l s e < / I s L i n k e d >  
             < C h a r t I D > - 7 3 7 9 8 6 8 2 0 0 9 9 9 9 9 8 6 9 6 < / C h a r t I D >  
             < S e q u e n c e > 0 < / S e q u e n c e >  
         < / A c c o u n t I n f o >  
         < A c c o u n t I n f o >  
             < I D > - 7 3 7 9 8 6 8 2 0 0 9 9 9 9 9 8 6 6 0 < / I D >  
             < N a m e > P r o v i s i o n   A g a i n s t   I m p a i r m e n t   L o s s < / N a m e >  
             < N u m b e r > 6 1 7 0 . 1 < / N u m b e r >  
             < I s L i n k e d > f a l s e < / I s L i n k e d >  
             < C h a r t I D > - 7 3 7 9 8 6 8 2 0 0 9 9 9 9 9 8 6 9 6 < / C h a r t I D >  
             < S e q u e n c e > 0 < / S e q u e n c e >  
         < / A c c o u n t I n f o >  
         < A c c o u n t I n f o >  
             < I D > - 7 3 7 9 8 6 8 2 0 0 9 9 9 9 9 8 6 5 9 < / I D >  
             < N a m e > T a x   P a y a b l e < / N a m e >  
             < N u m b e r > 6 1 8 0 < / N u m b e r >  
             < I s L i n k e d > f a l s e < / I s L i n k e d >  
             < C h a r t I D > - 7 3 7 9 8 6 8 2 0 0 9 9 9 9 9 8 6 9 6 < / C h a r t I D >  
             < S e q u e n c e > 0 < / S e q u e n c e >  
         < / A c c o u n t I n f o >  
         < A c c o u n t I n f o >  
             < I D > - 7 3 7 9 8 6 8 2 0 0 9 9 9 9 9 8 6 5 8 < / I D >  
             < N a m e > I s s u e d ,   s u b s c r i b e d   a n d   p a i d - u p   c a p i t a l < / N a m e >  
             < N u m b e r > 7 1 1 0 . 1 < / N u m b e r >  
             < I s L i n k e d > f a l s e < / I s L i n k e d >  
             < C h a r t I D > - 7 3 7 9 8 6 8 2 0 0 9 9 9 9 9 8 6 9 6 < / C h a r t I D >  
             < S e q u e n c e > 0 < / S e q u e n c e >  
         < / A c c o u n t I n f o >  
         < A c c o u n t I n f o >  
             < I D > - 7 3 7 9 8 6 8 2 0 0 9 9 9 9 9 8 6 5 5 < / I D >  
             < N a m e > U n r e a l i z e d   a p p r e c i a t i o n   i n   v a l u e   o f   i n v e s t m e n t s - A F S < / N a m e >  
             < N u m b e r > 7 2 1 0 . 1 < / N u m b e r >  
             < I s L i n k e d > f a l s e < / I s L i n k e d >  
             < C h a r t I D > - 7 3 7 9 8 6 8 2 0 0 9 9 9 9 9 8 6 9 6 < / C h a r t I D >  
             < S e q u e n c e > 0 < / S e q u e n c e >  
         < / A c c o u n t I n f o >  
         < A c c o u n t I n f o >  
             < I D > - 7 3 7 9 8 6 8 2 0 0 9 9 9 9 9 8 6 5 7 < / I D >  
             < N a m e > A c c u m u l a t e d   l o s s < / N a m e >  
             < N u m b e r > 7 2 2 0 . 2 < / N u m b e r >  
             < I s L i n k e d > f a l s e < / I s L i n k e d >  
             < C h a r t I D > - 7 3 7 9 8 6 8 2 0 0 9 9 9 9 9 8 6 9 6 < / C h a r t I D >  
             < S e q u e n c e > 0 < / S e q u e n c e >  
         < / A c c o u n t I n f o >  
         < A c c o u n t I n f o >  
             < I D > - 7 3 7 9 8 6 8 2 0 0 9 9 9 9 9 8 6 5 6 < / I D >  
             < N a m e > U n i t   h o l d e r s   F u n d < / N a m e >  
             < N u m b e r > 7 2 3 0 < / N u m b e r >  
             < I s L i n k e d > f a l s e < / I s L i n k e d >  
             < C h a r t I D > - 7 3 7 9 8 6 8 2 0 0 9 9 9 9 9 8 6 9 6 < / C h a r t I D >  
             < S e q u e n c e > 0 < / S e q u e n c e >  
         < / A c c o u n t I n f o >  
         < A c c o u n t I n f o >  
             < I D > - 7 3 7 9 8 6 8 2 0 0 9 9 9 9 9 8 6 5 4 < / I D >  
             < N a m e > R e a l i z e d   E l e m e n t   o f   i n c o m e < / N a m e >  
             < N u m b e r > 7 2 3 0 . 1 < / N u m b e r >  
             < I s L i n k e d > f a l s e < / I s L i n k e d >  
             < C h a r t I D > - 7 3 7 9 8 6 8 2 0 0 9 9 9 9 9 8 6 9 6 < / C h a r t I D >  
             < S e q u e n c e > 0 < / S e q u e n c e >  
         < / A c c o u n t I n f o >  
         < A c c o u n t I n f o >  
             < I D > - 7 3 7 9 8 6 8 2 0 0 9 9 9 9 9 8 6 5 2 < / I D >  
             < N a m e > U n r e a l i z e d   E l e m e n t   o f   i n c o m e < / N a m e >  
             < N u m b e r > 7 2 3 0 . 2 < / N u m b e r >  
             < I s L i n k e d > f a l s e < / I s L i n k e d >  
             < C h a r t I D > - 7 3 7 9 8 6 8 2 0 0 9 9 9 9 9 8 6 9 6 < / C h a r t I D >  
             < S e q u e n c e > 0 < / S e q u e n c e >  
         < / A c c o u n t I n f o >  
         < A c c o u n t I n f o >  
             < I D > - 7 3 7 9 8 6 8 2 0 0 9 9 9 9 9 8 6 5 0 < / I D >  
             < N a m e > C a p i t a l   g a i n   /   ( l o s s )   o n   s a l e   o f   i n v e s t m e n t s   -   n e t < / N a m e >  
             < N u m b e r > 8 1 1 0 . 1 < / N u m b e r >  
             < I s L i n k e d > f a l s e < / I s L i n k e d >  
             < C h a r t I D > - 7 3 7 9 8 6 8 2 0 0 9 9 9 9 9 8 6 9 6 < / C h a r t I D >  
             < S e q u e n c e > 0 < / S e q u e n c e >  
         < / A c c o u n t I n f o >  
         < A c c o u n t I n f o >  
             < I D > - 7 3 7 9 8 6 8 2 0 0 9 9 9 9 9 8 6 4 9 < / I D >  
             < N a m e > I n c o m e   f r o m   C F S   T r a n s a c t i o n s < / N a m e >  
             < N u m b e r > 8 1 1 0 . 1 A < / N u m b e r >  
             < I s L i n k e d > f a l s e < / I s L i n k e d >  
             < C h a r t I D > - 7 3 7 9 8 6 8 2 0 0 9 9 9 9 9 8 6 9 6 < / C h a r t I D >  
             < S e q u e n c e > 0 < / S e q u e n c e >  
         < / A c c o u n t I n f o >  
         < A c c o u n t I n f o >  
             < I D > 2 4 7 1 7 0 1 8 2 8 3 0 0 0 0 0 1 3 6 < / I D >  
             < N a m e > I n c o m e   f r o m   i n v e s t m e n t   i n   D e r i v a t i v e < / N a m e >  
             < N u m b e r > 8 1 1 0 . 1 B < / N u m b e r >  
             < I s L i n k e d > f a l s e < / I s L i n k e d >  
             < C h a r t I D > - 7 3 7 9 8 6 8 2 0 0 9 9 9 9 9 8 6 9 6 < / C h a r t I D >  
             < S e q u e n c e > 0 < / S e q u e n c e >  
         < / A c c o u n t I n f o >  
         < A c c o u n t I n f o >  
             < I D > - 7 3 7 9 8 6 8 2 0 0 9 9 9 9 9 8 6 4 8 < / I D >  
             < N a m e > I n c o m e   f r o m   T e r m   F i n a n c e   C e r t i f i c a t e s < / N a m e >  
             < N u m b e r > 8 1 1 0 . 2 A < / N u m b e r >  
             < I s L i n k e d > f a l s e < / I s L i n k e d >  
             < C h a r t I D > - 7 3 7 9 8 6 8 2 0 0 9 9 9 9 9 8 6 9 6 < / C h a r t I D >  
             < S e q u e n c e > 0 < / S e q u e n c e >  
         < / A c c o u n t I n f o >  
         < A c c o u n t I n f o >  
             < I D > - 7 3 7 9 8 6 8 2 0 0 9 9 9 9 9 8 6 4 7 < / I D >  
             < N a m e > I n c o m e   f r o m   G o v e r n m e n t   S e c u r i t i e s < / N a m e >  
             < N u m b e r > 8 1 1 0 . 3 A < / N u m b e r >  
             < I s L i n k e d > f a l s e < / I s L i n k e d >  
             < C h a r t I D > - 7 3 7 9 8 6 8 2 0 0 9 9 9 9 9 8 6 9 6 < / C h a r t I D >  
             < S e q u e n c e > 0 < / S e q u e n c e >  
         < / A c c o u n t I n f o >  
         < A c c o u n t I n f o >  
             < I D > - 7 3 7 9 8 6 8 2 0 0 9 9 9 9 9 8 6 4 6 < / I D >  
             < N a m e > I n c o m e   f r o m   p l a c e m e n t s   w i t h   f i n a n c i a l   i n s t i t u t i o n s < / N a m e >  
             < N u m b e r > 8 1 1 0 . 4 A < / N u m b e r >  
             < I s L i n k e d > f a l s e < / I s L i n k e d >  
             < C h a r t I D > - 7 3 7 9 8 6 8 2 0 0 9 9 9 9 9 8 6 9 6 < / C h a r t I D >  
             < S e q u e n c e > 0 < / S e q u e n c e >  
         < / A c c o u n t I n f o >  
         < A c c o u n t I n f o >  
             < I D > - 7 3 7 9 8 6 8 2 0 0 9 9 9 9 9 8 6 4 5 < / I D >  
             < N a m e > I n c o m e   f r o m   T D R < / N a m e >  
             < N u m b e r > 8 1 1 0 . 5 A < / N u m b e r >  
             < I s L i n k e d > f a l s e < / I s L i n k e d >  
             < C h a r t I D > - 7 3 7 9 8 6 8 2 0 0 9 9 9 9 9 8 6 9 6 < / C h a r t I D >  
             < S e q u e n c e > 0 < / S e q u e n c e >  
         < / A c c o u n t I n f o >  
         < A c c o u n t I n f o >  
             < I D > - 7 3 7 9 8 6 8 2 0 0 9 9 9 9 9 8 6 4 4 < / I D >  
             < N a m e > I n c o m e   o n   N C C P L   m a r g i n < / N a m e >  
             < N u m b e r > 8 1 1 0 . 6 A < / N u m b e r >  
             < I s L i n k e d > f a l s e < / I s L i n k e d >  
             < C h a r t I D > - 7 3 7 9 8 6 8 2 0 0 9 9 9 9 9 8 6 9 6 < / C h a r t I D >  
             < S e q u e n c e > 0 < / S e q u e n c e >  
         < / A c c o u n t I n f o >  
         < A c c o u n t I n f o >  
             < I D > - 7 3 7 9 8 6 8 2 0 0 9 9 9 9 9 8 4 3 6 < / I D >  
             < N a m e > P r e   I P O   p a r t i c i p a t i o n   i n c o m e < / N a m e >  
             < N u m b e r > 8 1 1 0 . 6 B < / N u m b e r >  
             < I s L i n k e d > f a l s e < / I s L i n k e d >  
             < C h a r t I D > - 7 3 7 9 8 6 8 2 0 0 9 9 9 9 9 8 6 9 6 < / C h a r t I D >  
             < S e q u e n c e > 0 < / S e q u e n c e >  
         < / A c c o u n t I n f o >  
         < A c c o u n t I n f o >  
             < I D > - 7 3 7 9 8 6 8 2 0 0 9 9 9 9 9 8 6 4 3 < / I D >  
             < N a m e > P r o f i t   o n   b a n k   d e p o s i t s < / N a m e >  
             < N u m b e r > 8 1 1 0 . 7 A < / N u m b e r >  
             < I s L i n k e d > f a l s e < / I s L i n k e d >  
             < C h a r t I D > - 7 3 7 9 8 6 8 2 0 0 9 9 9 9 9 8 6 9 6 < / C h a r t I D >  
             < S e q u e n c e > 0 < / S e q u e n c e >  
         < / A c c o u n t I n f o >  
         < A c c o u n t I n f o >  
             < I D > - 7 3 7 9 8 6 8 2 0 0 9 9 9 9 9 8 6 9 2 < / I D >  
             < N a m e > U n r e a l i z e d   a p p r e c i a t i o n   /   ( d i m i n u i t i o n )   i n   v a l u e   o f   i n v e s t m e n t s   a t   f a i r   v a l u e   t h r o u g h   p r o f i t   o r   l o s s < / N a m e >  
             < N u m b e r > 8 1 1 0 . 8 A < / N u m b e r >  
             < I s L i n k e d > f a l s e < / I s L i n k e d >  
             < C h a r t I D > - 7 3 7 9 8 6 8 2 0 0 9 9 9 9 9 8 6 9 6 < / C h a r t I D >  
             < S e q u e n c e > 0 < / S e q u e n c e >  
         < / A c c o u n t I n f o >  
         < A c c o u n t I n f o >  
             < I D > 2 4 7 1 7 0 1 8 2 8 3 0 0 0 0 0 1 2 9 < / I D >  
             < N a m e > D i v i d e n d   I n c o m e < / N a m e >  
             < N u m b e r > 8 1 1 0 . 9 A < / N u m b e r >  
             < I s L i n k e d > f a l s e < / I s L i n k e d >  
             < C h a r t I D > - 7 3 7 9 8 6 8 2 0 0 9 9 9 9 9 8 6 9 6 < / C h a r t I D >  
             < S e q u e n c e > 0 < / S e q u e n c e >  
         < / A c c o u n t I n f o >  
         < A c c o u n t I n f o >  
             < I D > - 7 3 7 9 8 6 8 2 0 0 9 9 9 9 9 8 6 9 1 < / I D >  
             < N a m e > I m p a i r m e n t   l o s s < / N a m e >  
             < N u m b e r > 8 1 1 1 < / N u m b e r >  
             < I s L i n k e d > f a l s e < / I s L i n k e d >  
             < C h a r t I D > - 7 3 7 9 8 6 8 2 0 0 9 9 9 9 9 8 6 9 6 < / C h a r t I D >  
             < S e q u e n c e > 0 < / S e q u e n c e >  
         < / A c c o u n t I n f o >  
         < A c c o u n t I n f o >  
             < I D > - 7 3 7 9 8 6 8 2 0 0 9 9 9 9 9 8 6 9 0 < / I D >  
             < N a m e > R e m u n e r a t i o n   o f   m a n a g e m e n t   c o m p a n y < / N a m e >  
             < N u m b e r > 8 1 2 0 . 1 < / N u m b e r >  
             < I s L i n k e d > f a l s e < / I s L i n k e d >  
             < C h a r t I D > - 7 3 7 9 8 6 8 2 0 0 9 9 9 9 9 8 6 9 6 < / C h a r t I D >  
             < S e q u e n c e > 0 < / S e q u e n c e >  
         < / A c c o u n t I n f o >  
         < A c c o u n t I n f o >  
             < I D > - 7 3 7 9 8 6 8 2 0 0 9 9 9 9 9 8 6 8 9 < / I D >  
             < N a m e > R e m u n e r a t i o n   o f   C D C   -   T r u s t e e < / N a m e >  
             < N u m b e r > 8 1 2 0 . 1 A < / N u m b e r >  
             < I s L i n k e d > f a l s e < / I s L i n k e d >  
             < C h a r t I D > - 7 3 7 9 8 6 8 2 0 0 9 9 9 9 9 8 6 9 6 < / C h a r t I D >  
             < S e q u e n c e > 0 < / S e q u e n c e >  
         < / A c c o u n t I n f o >  
         < A c c o u n t I n f o >  
             < I D > - 7 3 7 9 8 6 8 2 0 0 9 9 9 9 9 8 6 8 8 < / I D >  
             < N a m e > A n n u a l   f e e   -   S E C P < / N a m e >  
             < N u m b e r > 8 1 2 0 . 2 A < / N u m b e r >  
             < I s L i n k e d > f a l s e < / I s L i n k e d >  
             < C h a r t I D > - 7 3 7 9 8 6 8 2 0 0 9 9 9 9 9 8 6 9 6 < / C h a r t I D >  
             < S e q u e n c e > 0 < / S e q u e n c e >  
         < / A c c o u n t I n f o >  
         < A c c o u n t I n f o >  
             < I D > - 7 3 7 9 8 6 8 2 0 0 9 9 9 9 9 8 6 8 7 < / I D >  
             < N a m e > S e c u r i t i e s   t r a n s a c t i n   c o s t < / N a m e >  
             < N u m b e r > 8 1 3 0 . 1 < / N u m b e r >  
             < I s L i n k e d > f a l s e < / I s L i n k e d >  
             < C h a r t I D > - 7 3 7 9 8 6 8 2 0 0 9 9 9 9 9 8 6 9 6 < / C h a r t I D >  
             < S e q u e n c e > 0 < / S e q u e n c e >  
         < / A c c o u n t I n f o >  
         < A c c o u n t I n f o >  
             < I D > - 7 3 7 9 8 6 8 2 0 0 9 9 9 9 9 8 6 8 5 < / I D >  
             < N a m e > C o n v e r s i o n   c o s t < / N a m e >  
             < N u m b e r > 8 1 3 0 . 2 < / N u m b e r >  
             < I s L i n k e d > f a l s e < / I s L i n k e d >  
             < C h a r t I D > - 7 3 7 9 8 6 8 2 0 0 9 9 9 9 9 8 6 9 6 < / C h a r t I D >  
             < S e q u e n c e > 0 < / S e q u e n c e >  
         < / A c c o u n t I n f o >  
         < A c c o u n t I n f o >  
             < I D > - 7 3 7 9 8 6 8 2 0 0 9 9 9 9 9 8 5 9 1 < / I D >  
             < N a m e > F i n a n c i a l   C h a r g e s < / N a m e >  
             < N u m b e r > 8 1 3 0 . 3 < / N u m b e r >  
             < I s L i n k e d > f a l s e < / I s L i n k e d >  
             < C h a r t I D > - 7 3 7 9 8 6 8 2 0 0 9 9 9 9 9 8 6 9 6 < / C h a r t I D >  
             < S e q u e n c e > 0 < / S e q u e n c e >  
         < / A c c o u n t I n f o >  
         < A c c o u n t I n f o >  
             < I D > - 7 3 7 9 8 6 8 2 0 0 9 9 9 9 9 8 5 9 0 < / I D >  
             < N a m e > B a n k   C h a r g e s < / N a m e >  
             < N u m b e r > 8 1 3 0 . 4 < / N u m b e r >  
             < I s L i n k e d > f a l s e < / I s L i n k e d >  
             < C h a r t I D > - 7 3 7 9 8 6 8 2 0 0 9 9 9 9 9 8 6 9 6 < / C h a r t I D >  
             < S e q u e n c e > 0 < / S e q u e n c e >  
         < / A c c o u n t I n f o >  
         < A c c o u n t I n f o >  
             < I D > - 7 3 7 9 8 6 8 2 0 0 9 9 9 9 9 8 5 8 9 < / I D >  
             < N a m e > R r e v e r s a l   o f   P r o v i s i o n   A g a i n s t   D e b t   s e c u r i t i e s < / N a m e >  
             < N u m b e r > 8 1 3 3 < / N u m b e r >  
             < I s L i n k e d > f a l s e < / I s L i n k e d >  
             < C h a r t I D > - 7 3 7 9 8 6 8 2 0 0 9 9 9 9 9 8 6 9 6 < / C h a r t I D >  
             < S e q u e n c e > 0 < / S e q u e n c e >  
         < / A c c o u n t I n f o >  
         < A c c o u n t I n f o >  
             < I D > - 7 3 7 9 8 6 8 2 0 0 9 9 9 9 9 8 6 8 6 < / I D >  
             < N a m e > F e e s   a n d   s u b s c r i p t i o n < / N a m e >  
             < N u m b e r > 8 1 4 0 . 1 < / N u m b e r >  
             < I s L i n k e d > f a l s e < / I s L i n k e d >  
             < C h a r t I D > - 7 3 7 9 8 6 8 2 0 0 9 9 9 9 9 8 6 9 6 < / C h a r t I D >  
             < S e q u e n c e > 0 < / S e q u e n c e >  
         < / A c c o u n t I n f o >  
         < A c c o u n t I n f o >  
             < I D > - 7 3 7 9 8 6 8 2 0 0 9 9 9 9 9 8 5 7 6 < / I D >  
             < N a m e > L e g a l   a n d   P r o f e s s i o n a l   C h a r g e s < / N a m e >  
             < N u m b e r > 8 1 4 0 . 2 < / N u m b e r >  
             < I s L i n k e d > f a l s e < / I s L i n k e d >  
             < C h a r t I D > - 7 3 7 9 8 6 8 2 0 0 9 9 9 9 9 8 6 9 6 < / C h a r t I D >  
             < S e q u e n c e > 0 < / S e q u e n c e >  
         < / A c c o u n t I n f o >  
         < A c c o u n t I n f o >  
             < I D > - 7 3 7 9 8 6 8 2 0 0 9 9 9 9 9 8 6 8 4 < / I D >  
             < N a m e > S e t t l e m e n t   C h a r g e s < / N a m e >  
             < N u m b e r > 8 1 5 0 . 1 < / N u m b e r >  
             < I s L i n k e d > f a l s e < / I s L i n k e d >  
             < C h a r t I D > - 7 3 7 9 8 6 8 2 0 0 9 9 9 9 9 8 6 9 6 < / C h a r t I D >  
             < S e q u e n c e > 0 < / S e q u e n c e >  
         < / A c c o u n t I n f o >  
         < A c c o u n t I n f o >  
             < I D > - 7 3 7 9 8 6 8 2 0 0 9 9 9 9 9 8 6 8 3 < / I D >  
             < N a m e > P r i n t i n g   a n d   r e l a t e d   c o s t < / N a m e >  
             < N u m b e r > 8 1 5 0 . 1 A < / N u m b e r >  
             < I s L i n k e d > f a l s e < / I s L i n k e d >  
             < C h a r t I D > - 7 3 7 9 8 6 8 2 0 0 9 9 9 9 9 8 6 9 6 < / C h a r t I D >  
             < S e q u e n c e > 0 < / S e q u e n c e >  
         < / A c c o u n t I n f o >  
         < A c c o u n t I n f o >  
             < I D > - 7 3 7 9 8 6 8 2 0 0 9 9 9 9 9 8 6 8 2 < / I D >  
             < N a m e > A u d i t o r ' s   r e m u n e r a t i o n < / N a m e >  
             < N u m b e r > 8 1 5 0 . 2 A < / N u m b e r >  
             < I s L i n k e d > f a l s e < / I s L i n k e d >  
             < C h a r t I D > - 7 3 7 9 8 6 8 2 0 0 9 9 9 9 9 8 6 9 6 < / C h a r t I D >  
             < S e q u e n c e > 0 < / S e q u e n c e >  
         < / A c c o u n t I n f o >  
         < A c c o u n t I n f o >  
             < I D > - 7 3 7 9 8 6 8 2 0 0 9 9 9 9 9 8 6 8 1 < / I D >  
             < N a m e > A m o r t i z a t i o n   o f   p r e l i m i n a r y   e x p e n s e s   a n d   f l o t a t i o n   c o s t s < / N a m e >  
             < N u m b e r > 8 1 5 0 . 3 A < / N u m b e r >  
             < I s L i n k e d > f a l s e < / I s L i n k e d >  
             < C h a r t I D > - 7 3 7 9 8 6 8 2 0 0 9 9 9 9 9 8 6 9 6 < / C h a r t I D >  
             < S e q u e n c e > 0 < / S e q u e n c e >  
         < / A c c o u n t I n f o >  
         < A c c o u n t I n f o >  
             < I D > - 7 3 7 9 8 6 8 2 0 0 9 9 9 9 9 8 6 8 0 < / I D >  
             < N a m e > P r o v i s i o n   A g a i n s t   I m p a i r m e n t   L o s s - E X P < / N a m e >  
             < N u m b e r > 8 1 6 0 . 1 < / N u m b e r >  
             < I s L i n k e d > f a l s e < / I s L i n k e d >  
             < C h a r t I D > - 7 3 7 9 8 6 8 2 0 0 9 9 9 9 9 8 6 9 6 < / C h a r t I D >  
             < S e q u e n c e > 0 < / S e q u e n c e >  
         < / A c c o u n t I n f o >  
         < A c c o u n t I n f o >  
             < I D > - 7 3 7 9 8 6 8 2 0 0 9 9 9 9 9 8 5 8 8 < / I D >  
             < N a m e > W W F - E X P < / N a m e >  
             < N u m b e r > 8 1 6 0 . 2 < / N u m b e r >  
             < I s L i n k e d > f a l s e < / I s L i n k e d >  
             < C h a r t I D > - 7 3 7 9 8 6 8 2 0 0 9 9 9 9 9 8 6 9 6 < / C h a r t I D >  
             < S e q u e n c e > 0 < / S e q u e n c e >  
         < / A c c o u n t I n f o >  
         < A c c o u n t I n f o >  
             < I D > - 7 3 7 9 8 6 8 2 0 0 9 9 9 9 9 8 4 4 6 < / I D >  
             < N a m e > S a l e s   T a x   o n   T r u s t e e   F e e s < / N a m e >  
             < N u m b e r > 8 1 7 0 . 1 < / N u m b e r >  
             < I s L i n k e d > f a l s e < / I s L i n k e d >  
             < C h a r t I D > - 7 3 7 9 8 6 8 2 0 0 9 9 9 9 9 8 6 9 6 < / C h a r t I D >  
             < S e q u e n c e > 0 < / S e q u e n c e >  
         < / A c c o u n t I n f o >  
         < A c c o u n t I n f o >  
             < I D > - 7 3 7 9 8 6 8 2 0 0 9 9 9 9 9 8 4 4 3 < / I D >  
             < N a m e > B a c k   o f f i c e   e x p e n s e < / N a m e >  
             < N u m b e r > 8 1 8 0 . 1 < / N u m b e r >  
             < I s L i n k e d > f a l s e < / I s L i n k e d >  
             < C h a r t I D > - 7 3 7 9 8 6 8 2 0 0 9 9 9 9 9 8 6 9 6 < / C h a r t I D >  
             < S e q u e n c e > 0 < / S e q u e n c e >  
         < / A c c o u n t I n f o >  
         < A c c o u n t I n f o >  
             < I D > - 7 3 7 9 8 6 8 2 0 0 9 9 9 9 9 8 6 5 3 < / I D >  
             < N a m e > R e a l i z e d   E l e m e n t   & a m p ;   C G < / N a m e >  
             < N u m b e r > 9 1 1 0 . 1 < / N u m b e r >  
             < I s L i n k e d > f a l s e < / I s L i n k e d >  
             < C h a r t I D > - 7 3 7 9 8 6 8 2 0 0 9 9 9 9 9 8 6 9 6 < / C h a r t I D >  
             < S e q u e n c e > 0 < / S e q u e n c e >  
         < / A c c o u n t I n f o >  
         < A c c o u n t I n f o >  
             < I D > - 7 3 7 9 8 6 8 2 0 0 9 9 9 9 9 8 6 5 1 < / I D >  
             < N a m e > U n r e a l i z e d   E l e m e n t   & a m p ;   C a p i t a l   G a i n < / N a m e >  
             < N u m b e r > 9 1 1 0 . 2 < / N u m b e r >  
             < I s L i n k e d > f a l s e < / I s L i n k e d >  
             < C h a r t I D > - 7 3 7 9 8 6 8 2 0 0 9 9 9 9 9 8 6 9 6 < / C h a r t I D >  
             < S e q u e n c e > 0 < / S e q u e n c e >  
         < / A c c o u n t I n f o >  
     < / T a r g e t A c c o u n t I n f o L i s t >  
     < D A A c c o u n t T y p e L i s t / >  
     < I s C o n s o l i d a t e d T B > f a l s e < / I s C o n s o l i d a t e d T B >  
 < / L e a d S h e e t P a r a m s > 
</file>

<file path=customXml/item3.xml><?xml version="1.0" encoding="utf-8"?>
<boolean xmlns="http://schemas.dtt.com/da/LeadSheetOpenXML">true</boolean>
</file>

<file path=customXml/item4.xml><?xml version="1.0" encoding="utf-8"?>
<boolean xmlns="http://schemas.dtt.com/da/IsLeadSheet">true</boolean>
</file>

<file path=customXml/item5.xml><?xml version="1.0" encoding="utf-8"?>
<DAEMSEngagementItemInfo xmlns="http://schemas.microsoft.com/DAEMSEngagementItemInfoXML">
  <EngagementID>5000010788</EngagementID>
  <LogicalEMSServerID>1965072166277195099</LogicalEMSServerID>
  <WorkingPaperID>2799274689400003544</WorkingPaperID>
</DAEMSEngagementItemInfo>
</file>

<file path=customXml/item6.xml>��< ? x m l   v e r s i o n = " 1 . 0 "   e n c o d i n g = " u t f - 1 6 " ? > < L e a d S h e e t D a t a S t o r a g e   x m l n s : x s d = " h t t p : / / w w w . w 3 . o r g / 2 0 0 1 / X M L S c h e m a "   x m l n s : x s i = " h t t p : / / w w w . w 3 . o r g / 2 0 0 1 / X M L S c h e m a - i n s t a n c e " >  
     < D A M a p p i n g L i s t / >  
     < A c c o u n t G r o u p s >  
         < A c c o u n t G r o u p I n f o >  
             < N a m e > B a n k   B a l a n c e s < / N a m e >  
             < T a r g e t A c c o u n t I D > - 7 3 7 9 8 6 8 2 0 0 9 9 9 9 9 8 6 7 5 < / T a r g e t A c c o u n t I D >  
             < T a r g e t A c c o u n t N u m b e r > 5 1 1 0 . 1 < / T a r g e t A c c o u n t N u m b e r >  
         < / A c c o u n t G r o u p I n f o >  
         < A c c o u n t G r o u p I n f o >  
             < N a m e > R e c e i v a b l e   a g a i n s t   s a l e   o f   i n v e s t m e n t < / N a m e >  
             < T a r g e t A c c o u n t I D > - 7 3 7 9 8 6 8 2 0 0 9 9 9 9 9 8 6 7 4 < / T a r g e t A c c o u n t I D >  
             < T a r g e t A c c o u n t N u m b e r > 5 1 2 0 . 1 < / T a r g e t A c c o u n t N u m b e r >  
         < / A c c o u n t G r o u p I n f o >  
         < A c c o u n t G r o u p I n f o >  
             < N a m e > R e c e i v a b l e   a g a i n s t   M a r g i n   T r a d i n g   S y s t e m   T r a n s a c t i o n s < / N a m e >  
             < T a r g e t A c c o u n t I D > 2 4 7 1 7 0 1 8 2 8 3 0 0 0 0 0 1 3 4 < / T a r g e t A c c o u n t I D >  
             < T a r g e t A c c o u n t N u m b e r > 5 1 2 0 . 1 A < / T a r g e t A c c o u n t N u m b e r >  
         < / A c c o u n t G r o u p I n f o >  
         < A c c o u n t G r o u p I n f o >  
             < N a m e > T e r m   F i n a n c e   C e r t i f i c a t e s   -   H F T < / N a m e >  
             < T a r g e t A c c o u n t I D > - 7 3 7 9 8 6 8 2 0 0 9 9 9 9 9 8 6 7 3 < / T a r g e t A c c o u n t I D >  
             < T a r g e t A c c o u n t N u m b e r > 5 1 3 0 . 1 < / T a r g e t A c c o u n t N u m b e r >  
         < / A c c o u n t G r o u p I n f o >  
         < A c c o u n t G r o u p I n f o >  
             < N a m e > T e r m   F i n a n c e   C e r t i f i c a t e s   -   A F S < / N a m e >  
             < T a r g e t A c c o u n t I D > 2 2 9 9 7 6 8 4 7 4 9 0 0 0 1 5 8 2 6 < / T a r g e t A c c o u n t I D >  
             < T a r g e t A c c o u n t N u m b e r > 5 1 3 0 . 1 A < / T a r g e t A c c o u n t N u m b e r >  
         < / A c c o u n t G r o u p I n f o >  
         < A c c o u n t G r o u p I n f o >  
             < N a m e > G o v e r n m e n t   s e c u r i t i e s   -   H F T < / N a m e >  
             < T a r g e t A c c o u n t I D > - 7 3 7 9 8 6 8 2 0 0 9 9 9 9 9 8 6 7 1 < / T a r g e t A c c o u n t I D >  
             < T a r g e t A c c o u n t N u m b e r > 5 1 3 0 . 3 < / T a r g e t A c c o u n t N u m b e r >  
         < / A c c o u n t G r o u p I n f o >  
         < A c c o u n t G r o u p I n f o >  
             < N a m e > G o v e r n m e n t   s e c u r i t i e s   -   A F S < / N a m e >  
             < T a r g e t A c c o u n t I D > 2 2 9 9 7 6 8 4 7 4 9 0 0 0 1 5 8 2 3 < / T a r g e t A c c o u n t I D >  
             < T a r g e t A c c o u n t N u m b e r > 5 1 3 0 . 3 A < / T a r g e t A c c o u n t N u m b e r >  
         < / A c c o u n t G r o u p I n f o >  
         < A c c o u n t G r o u p I n f o >  
             < N a m e > I n v e s t m e n t   i n   E q u i t y   S e c u r i t i e s   -   H F T < / N a m e >  
             < T a r g e t A c c o u n t I D > - 7 3 7 9 8 6 8 2 0 0 9 9 9 9 9 8 5 8 2 < / T a r g e t A c c o u n t I D >  
             < T a r g e t A c c o u n t N u m b e r > 5 1 3 0 . 4 < / T a r g e t A c c o u n t N u m b e r >  
         < / A c c o u n t G r o u p I n f o >  
         < A c c o u n t G r o u p I n f o >  
             < N a m e > C o m m e r c i a l   P a p e r s   -   H F T < / N a m e >  
             < T a r g e t A c c o u n t I D > 2 4 7 1 7 0 1 8 2 8 3 0 0 0 0 0 1 3 8 < / T a r g e t A c c o u n t I D >  
             < T a r g e t A c c o u n t N u m b e r > 5 1 3 0 . 5 < / T a r g e t A c c o u n t N u m b e r >  
         < / A c c o u n t G r o u p I n f o >  
         < A c c o u n t G r o u p I n f o >  
             < N a m e > I n v e s t m e n t   i n   T D R   -   A F S < / N a m e >  
             < T a r g e t A c c o u n t I D > - 7 3 7 9 8 6 8 2 0 0 9 9 9 9 9 8 6 7 0 < / T a r g e t A c c o u n t I D >  
             < T a r g e t A c c o u n t N u m b e r > 5 1 4 0 . 1 < / T a r g e t A c c o u n t N u m b e r >  
         < / A c c o u n t G r o u p I n f o >  
         < A c c o u n t G r o u p I n f o >  
             < N a m e > I n v e s t m e n t   i n   F u t u r e s < / N a m e >  
             < T a r g e t A c c o u n t I D > - 7 3 7 9 8 6 8 2 0 0 9 9 9 9 9 8 6 6 9 < / T a r g e t A c c o u n t I D >  
             < T a r g e t A c c o u n t N u m b e r > 5 1 5 0 . 1 < / T a r g e t A c c o u n t N u m b e r >  
         < / A c c o u n t G r o u p I n f o >  
         < A c c o u n t G r o u p I n f o >  
             < N a m e > D i v i d e n d   r e c e i v a b l e   o n   e q u i t y   s e c u r i t i e s < / N a m e >  
             < T a r g e t A c c o u n t I D > - 7 3 7 9 8 6 8 2 0 0 9 9 9 9 9 8 6 6 8 < / T a r g e t A c c o u n t I D >  
             < T a r g e t A c c o u n t N u m b e r > 5 1 6 0 . 1 < / T a r g e t A c c o u n t N u m b e r >  
         < / A c c o u n t G r o u p I n f o >  
         < A c c o u n t G r o u p I n f o >  
             < N a m e > P r o f i t   r e c e i v a b l e   o n   b a n k   d e p o s i t s < / N a m e >  
             < T a r g e t A c c o u n t I D > 2 2 9 9 7 6 8 4 7 4 9 0 0 0 1 5 8 3 5 < / T a r g e t A c c o u n t I D >  
             < T a r g e t A c c o u n t N u m b e r > 5 1 6 0 . 2 < / T a r g e t A c c o u n t N u m b e r >  
         < / A c c o u n t G r o u p I n f o >  
         < A c c o u n t G r o u p I n f o >  
             < N a m e > P r o f i t   r e c e i v a b l e   o n   d e b t   s e c u r i t i e s < / N a m e >  
             < T a r g e t A c c o u n t I D > 2 2 9 9 7 6 8 4 7 4 9 0 0 0 1 5 8 3 4 < / T a r g e t A c c o u n t I D >  
             < T a r g e t A c c o u n t N u m b e r > 5 1 6 0 . 3 < / T a r g e t A c c o u n t N u m b e r >  
         < / A c c o u n t G r o u p I n f o >  
         < A c c o u n t G r o u p I n f o >  
             < N a m e > P r o f i t   r e c e i v a b l e   o n   g o v e r n m e n t   s e c u r i t i e s < / N a m e >  
             < T a r g e t A c c o u n t I D > 2 2 9 9 7 6 8 4 7 4 9 0 0 0 1 5 8 3 3 < / T a r g e t A c c o u n t I D >  
             < T a r g e t A c c o u n t N u m b e r > 5 1 6 0 . 4 < / T a r g e t A c c o u n t N u m b e r >  
         < / A c c o u n t G r o u p I n f o >  
         < A c c o u n t G r o u p I n f o >  
             < N a m e > P r o f i t   r e c e i v a b l e   o n   t e r m   d e p o s i t   r e c e i p t s < / N a m e >  
             < T a r g e t A c c o u n t I D > 2 2 9 9 7 6 8 4 7 4 9 0 0 0 1 5 8 3 2 < / T a r g e t A c c o u n t I D >  
             < T a r g e t A c c o u n t N u m b e r > 5 1 6 0 . 5 < / T a r g e t A c c o u n t N u m b e r >  
         < / A c c o u n t G r o u p I n f o >  
         < A c c o u n t G r o u p I n f o >  
             < N a m e > P r o f i t   r e c e i v a b l e   a g a i n s t   M T S < / N a m e >  
             < T a r g e t A c c o u n t I D > 2 4 7 1 7 0 1 8 2 8 3 0 0 0 0 0 1 3 2 < / T a r g e t A c c o u n t I D >  
             < T a r g e t A c c o u n t N u m b e r > 5 1 6 0 . 6 < / T a r g e t A c c o u n t N u m b e r >  
         < / A c c o u n t G r o u p I n f o >  
         < A c c o u n t G r o u p I n f o >  
             < N a m e > D e p o s i t s ,   p r e p a y m e n t s   a n d   o t h e r   r e c e i v a b l e s < / N a m e >  
             < T a r g e t A c c o u n t I D > - 7 3 7 9 8 6 8 2 0 0 9 9 9 9 9 8 6 6 7 < / T a r g e t A c c o u n t I D >  
             < T a r g e t A c c o u n t N u m b e r > 5 1 7 0 . 1 < / T a r g e t A c c o u n t N u m b e r >  
         < / A c c o u n t G r o u p I n f o >  
         < A c c o u n t G r o u p I n f o >  
             < N a m e > A d v a n c e   T a x < / N a m e >  
             < T a r g e t A c c o u n t I D > - 7 3 7 9 8 6 8 2 0 0 9 9 9 9 9 8 5 8 1 < / T a r g e t A c c o u n t I D >  
             < T a r g e t A c c o u n t N u m b e r > 5 1 7 0 . 2 < / T a r g e t A c c o u n t N u m b e r >  
         < / A c c o u n t G r o u p I n f o >  
         < A c c o u n t G r o u p I n f o >  
             < N a m e > D e p o s i t s   w i t h   N C C P L < / N a m e >  
             < T a r g e t A c c o u n t I D > - 7 3 7 9 8 6 8 2 0 0 9 9 9 9 9 8 5 8 0 < / T a r g e t A c c o u n t I D >  
             < T a r g e t A c c o u n t N u m b e r > 5 1 7 0 . 3 < / T a r g e t A c c o u n t N u m b e r >  
         < / A c c o u n t G r o u p I n f o >  
         < A c c o u n t G r o u p I n f o >  
             < N a m e > D e p o s i t s   w i t h   C D C < / N a m e >  
             < T a r g e t A c c o u n t I D > - 7 3 7 9 8 6 8 2 0 0 9 9 9 9 9 8 5 7 9 < / T a r g e t A c c o u n t I D >  
             < T a r g e t A c c o u n t N u m b e r > 5 1 7 0 . 4 < / T a r g e t A c c o u n t N u m b e r >  
         < / A c c o u n t G r o u p I n f o >  
         < A c c o u n t G r o u p I n f o >  
             < N a m e > M a r g i n   a g a i n s t   T F C < / N a m e >  
             < T a r g e t A c c o u n t I D > - 7 3 7 9 8 6 8 2 0 0 9 9 9 9 9 8 5 7 8 < / T a r g e t A c c o u n t I D >  
             < T a r g e t A c c o u n t N u m b e r > 5 1 7 0 . 5 < / T a r g e t A c c o u n t N u m b e r >  
         < / A c c o u n t G r o u p I n f o >  
         < A c c o u n t G r o u p I n f o >  
             < N a m e > P R E P A Y M E N T   O F   N C C P L   A G A I N S T   M A R G I N   T R A D I N G   S Y S T E M < / N a m e >  
             < T a r g e t A c c o u n t I D > 2 4 7 1 7 0 1 8 2 8 3 0 0 0 0 0 1 3 5 < / T a r g e t A c c o u n t I D >  
             < T a r g e t A c c o u n t N u m b e r > 5 1 7 0 . 5 A < / T a r g e t A c c o u n t N u m b e r >  
         < / A c c o u n t G r o u p I n f o >  
         < A c c o u n t G r o u p I n f o >  
             < N a m e > P r e p a y m e n t s < / N a m e >  
             < T a r g e t A c c o u n t I D > - 7 3 7 9 8 6 8 2 0 0 9 9 9 9 9 8 5 7 7 < / T a r g e t A c c o u n t I D >  
             < T a r g e t A c c o u n t N u m b e r > 5 1 7 0 . 6 < / T a r g e t A c c o u n t N u m b e r >  
         < / A c c o u n t G r o u p I n f o >  
         < A c c o u n t G r o u p I n f o >  
             < N a m e > R e c e i v a b l e   f r o m   N a t i o n a l   C l e a r i n g   C o m p n a y   o f   P a k i s t a n < / N a m e >  
             < T a r g e t A c c o u n t I D > 2 2 9 9 7 6 8 4 7 4 9 0 0 0 1 5 8 4 3 < / T a r g e t A c c o u n t I D >  
             < T a r g e t A c c o u n t N u m b e r > 5 1 7 0 . 7 < / T a r g e t A c c o u n t N u m b e r >  
         < / A c c o u n t G r o u p I n f o >  
         < A c c o u n t G r o u p I n f o >  
             < N a m e > P r e l i m i n a r y   e x p e n s e s   a n d   f l o a t a t i o n   c o s t s ,   a n d   O t h e r   A d v a n c e s < / N a m e >  
             < T a r g e t A c c o u n t I D > - 7 3 7 9 8 6 8 2 0 0 9 9 9 9 9 8 5 9 7 < / T a r g e t A c c o u n t I D >  
             < T a r g e t A c c o u n t N u m b e r > 5 1 8 0 - 1 < / T a r g e t A c c o u n t N u m b e r >  
         < / A c c o u n t G r o u p I n f o >  
         < A c c o u n t G r o u p I n f o >  
             < N a m e > P a y a b l e   t o   M a n a g e m e n t   C o m p a n y < / N a m e >  
             < T a r g e t A c c o u n t I D > - 7 3 7 9 8 6 8 2 0 0 9 9 9 9 9 8 6 6 6 < / T a r g e t A c c o u n t I D >  
             < T a r g e t A c c o u n t N u m b e r > 6 1 1 0 . 1 < / T a r g e t A c c o u n t N u m b e r >  
         < / A c c o u n t G r o u p I n f o >  
         < A c c o u n t G r o u p I n f o >  
             < N a m e > P a y a b l e   t o   C e n t r a l   D e p o s i t o r y   C o m p a n y   o f   P a k i s t a n   L i m i t e d   -   T r u s t e e < / N a m e >  
             < T a r g e t A c c o u n t I D > - 7 3 7 9 8 6 8 2 0 0 9 9 9 9 9 8 6 6 5 < / T a r g e t A c c o u n t I D >  
             < T a r g e t A c c o u n t N u m b e r > 6 1 2 0 . 1 < / T a r g e t A c c o u n t N u m b e r >  
         < / A c c o u n t G r o u p I n f o >  
         < A c c o u n t G r o u p I n f o >  
             < N a m e > P a y a b l e   t o   S e c u r i t i e s   a n d   E x c h a n g e   C o m m i s s i o n < / N a m e >  
             < T a r g e t A c c o u n t I D > - 7 3 7 9 8 6 8 2 0 0 9 9 9 9 9 8 6 6 4 < / T a r g e t A c c o u n t I D >  
             < T a r g e t A c c o u n t N u m b e r > 6 1 3 0 . 1 < / T a r g e t A c c o u n t N u m b e r >  
         < / A c c o u n t G r o u p I n f o >  
         < A c c o u n t G r o u p I n f o >  
             < N a m e > P a y a b l e   a g a i n s t   r e d e m p t i o n   o f   u n i t s < / N a m e >  
             < T a r g e t A c c o u n t I D > - 7 3 7 9 8 6 8 2 0 0 9 9 9 9 9 8 6 6 3 < / T a r g e t A c c o u n t I D >  
             < T a r g e t A c c o u n t N u m b e r > 6 1 4 0 . 1 < / T a r g e t A c c o u n t N u m b e r >  
         < / A c c o u n t G r o u p I n f o >  
         < A c c o u n t G r o u p I n f o >  
             < N a m e > P A Y A B L E   A G A I N S T   P U R C H A S E   O F   E Q U I T Y   S E C U R I T I E S < / N a m e >  
             < T a r g e t A c c o u n t I D > 2 4 7 1 7 0 1 8 2 8 3 0 0 0 0 0 1 3 1 < / T a r g e t A c c o u n t I D >  
             < T a r g e t A c c o u n t N u m b e r > 6 1 4 0 . 1 A < / T a r g e t A c c o u n t N u m b e r >  
         < / A c c o u n t G r o u p I n f o >  
         < A c c o u n t G r o u p I n f o >  
             < N a m e > U n c l a i m e d   d i v i d e n d < / N a m e >  
             < T a r g e t A c c o u n t I D > - 7 3 7 9 8 6 8 2 0 0 9 9 9 9 9 8 6 6 2 < / T a r g e t A c c o u n t I D >  
             < T a r g e t A c c o u n t N u m b e r > 6 1 5 0 . 1 < / T a r g e t A c c o u n t N u m b e r >  
         < / A c c o u n t G r o u p I n f o >  
         < A c c o u n t G r o u p I n f o >  
             < N a m e > A c c r u e d   e x p e n s e s   a n d   o t h e r   l i a b i l i t i e s < / N a m e >  
             < T a r g e t A c c o u n t I D > - 7 3 7 9 8 6 8 2 0 0 9 9 9 9 9 8 6 6 1 < / T a r g e t A c c o u n t I D >  
             < T a r g e t A c c o u n t N u m b e r > 6 1 6 0 . 1 < / T a r g e t A c c o u n t N u m b e r >  
         < / A c c o u n t G r o u p I n f o >  
         < A c c o u n t G r o u p I n f o >  
             < N a m e > P a y a b l e   A g a i n s t   E x p o s u r e   I n   M a g i n   T r a d i n g   S y s t e m < / N a m e >  
             < T a r g e t A c c o u n t I D > 2 4 7 1 7 0 1 8 2 8 3 0 0 0 0 0 1 3 3 < / T a r g e t A c c o u n t I D >  
             < T a r g e t A c c o u n t N u m b e r > 6 1 6 0 . 1 A < / T a r g e t A c c o u n t N u m b e r >  
         < / A c c o u n t G r o u p I n f o >  
         < A c c o u n t G r o u p I n f o >  
             < N a m e > P r o v i s i o n   A g a i n s t   I m p a i r m e n t   L o s s < / N a m e >  
             < T a r g e t A c c o u n t I D > - 7 3 7 9 8 6 8 2 0 0 9 9 9 9 9 8 6 6 0 < / T a r g e t A c c o u n t I D >  
             < T a r g e t A c c o u n t N u m b e r > 6 1 7 0 . 1 < / T a r g e t A c c o u n t N u m b e r >  
         < / A c c o u n t G r o u p I n f o >  
         < A c c o u n t G r o u p I n f o >  
             < N a m e > T a x   P a y a b l e < / N a m e >  
             < T a r g e t A c c o u n t I D > - 7 3 7 9 8 6 8 2 0 0 9 9 9 9 9 8 6 5 9 < / T a r g e t A c c o u n t I D >  
             < T a r g e t A c c o u n t N u m b e r > 6 1 8 0 < / T a r g e t A c c o u n t N u m b e r >  
         < / A c c o u n t G r o u p I n f o >  
         < A c c o u n t G r o u p I n f o >  
             < N a m e > I s s u e d ,   s u b s c r i b e d   a n d   p a i d - u p   c a p i t a l < / N a m e >  
             < T a r g e t A c c o u n t I D > - 7 3 7 9 8 6 8 2 0 0 9 9 9 9 9 8 6 5 8 < / T a r g e t A c c o u n t I D >  
             < T a r g e t A c c o u n t N u m b e r > 7 1 1 0 . 1 < / T a r g e t A c c o u n t N u m b e r >  
         < / A c c o u n t G r o u p I n f o >  
         < A c c o u n t G r o u p I n f o >  
             < N a m e > U n r e a l i z e d   a p p r e c i a t i o n   i n   v a l u e   o f   i n v e s t m e n t s - A F S < / N a m e >  
             < T a r g e t A c c o u n t I D > - 7 3 7 9 8 6 8 2 0 0 9 9 9 9 9 8 6 5 5 < / T a r g e t A c c o u n t I D >  
             < T a r g e t A c c o u n t N u m b e r > 7 2 1 0 . 1 < / T a r g e t A c c o u n t N u m b e r >  
         < / A c c o u n t G r o u p I n f o >  
         < A c c o u n t G r o u p I n f o >  
             < N a m e > A c c u m u l a t e d   l o s s < / N a m e >  
             < T a r g e t A c c o u n t I D > - 7 3 7 9 8 6 8 2 0 0 9 9 9 9 9 8 6 5 7 < / T a r g e t A c c o u n t I D >  
             < T a r g e t A c c o u n t N u m b e r > 7 2 2 0 . 2 < / T a r g e t A c c o u n t N u m b e r >  
         < / A c c o u n t G r o u p I n f o >  
         < A c c o u n t G r o u p I n f o >  
             < N a m e > U n i t   h o l d e r s   F u n d < / N a m e >  
             < T a r g e t A c c o u n t I D > - 7 3 7 9 8 6 8 2 0 0 9 9 9 9 9 8 6 5 6 < / T a r g e t A c c o u n t I D >  
             < T a r g e t A c c o u n t N u m b e r > 7 2 3 0 < / T a r g e t A c c o u n t N u m b e r >  
         < / A c c o u n t G r o u p I n f o >  
         < A c c o u n t G r o u p I n f o >  
             < N a m e > R e a l i z e d   E l e m e n t   o f   i n c o m e < / N a m e >  
             < T a r g e t A c c o u n t I D > - 7 3 7 9 8 6 8 2 0 0 9 9 9 9 9 8 6 5 4 < / T a r g e t A c c o u n t I D >  
             < T a r g e t A c c o u n t N u m b e r > 7 2 3 0 . 1 < / T a r g e t A c c o u n t N u m b e r >  
         < / A c c o u n t G r o u p I n f o >  
         < A c c o u n t G r o u p I n f o >  
             < N a m e > U n r e a l i z e d   E l e m e n t   o f   i n c o m e < / N a m e >  
             < T a r g e t A c c o u n t I D > - 7 3 7 9 8 6 8 2 0 0 9 9 9 9 9 8 6 5 2 < / T a r g e t A c c o u n t I D >  
             < T a r g e t A c c o u n t N u m b e r > 7 2 3 0 . 2 < / T a r g e t A c c o u n t N u m b e r >  
         < / A c c o u n t G r o u p I n f o >  
         < A c c o u n t G r o u p I n f o >  
             < N a m e > C a p i t a l   g a i n   /   ( l o s s )   o n   s a l e   o f   i n v e s t m e n t s   -   n e t < / N a m e >  
             < T a r g e t A c c o u n t I D > - 7 3 7 9 8 6 8 2 0 0 9 9 9 9 9 8 6 5 0 < / T a r g e t A c c o u n t I D >  
             < T a r g e t A c c o u n t N u m b e r > 8 1 1 0 . 1 < / T a r g e t A c c o u n t N u m b e r >  
         < / A c c o u n t G r o u p I n f o >  
         < A c c o u n t G r o u p I n f o >  
             < N a m e > I n c o m e   f r o m   C F S   T r a n s a c t i o n s < / N a m e >  
             < T a r g e t A c c o u n t I D > - 7 3 7 9 8 6 8 2 0 0 9 9 9 9 9 8 6 4 9 < / T a r g e t A c c o u n t I D >  
             < T a r g e t A c c o u n t N u m b e r > 8 1 1 0 . 1 A < / T a r g e t A c c o u n t N u m b e r >  
         < / A c c o u n t G r o u p I n f o >  
         < A c c o u n t G r o u p I n f o >  
             < N a m e > I n c o m e   f r o m   i n v e s t m e n t   i n   D e r i v a t i v e < / N a m e >  
             < T a r g e t A c c o u n t I D > 2 4 7 1 7 0 1 8 2 8 3 0 0 0 0 0 1 3 6 < / T a r g e t A c c o u n t I D >  
             < T a r g e t A c c o u n t N u m b e r > 8 1 1 0 . 1 B < / T a r g e t A c c o u n t N u m b e r >  
         < / A c c o u n t G r o u p I n f o >  
         < A c c o u n t G r o u p I n f o >  
             < N a m e > I n c o m e   f r o m   T e r m   F i n a n c e   C e r t i f i c a t e s < / N a m e >  
             < T a r g e t A c c o u n t I D > - 7 3 7 9 8 6 8 2 0 0 9 9 9 9 9 8 6 4 8 < / T a r g e t A c c o u n t I D >  
             < T a r g e t A c c o u n t N u m b e r > 8 1 1 0 . 2 A < / T a r g e t A c c o u n t N u m b e r >  
         < / A c c o u n t G r o u p I n f o >  
         < A c c o u n t G r o u p I n f o >  
             < N a m e > I n c o m e   f r o m   G o v e r n m e n t   S e c u r i t i e s < / N a m e >  
             < T a r g e t A c c o u n t I D > - 7 3 7 9 8 6 8 2 0 0 9 9 9 9 9 8 6 4 7 < / T a r g e t A c c o u n t I D >  
             < T a r g e t A c c o u n t N u m b e r > 8 1 1 0 . 3 A < / T a r g e t A c c o u n t N u m b e r >  
         < / A c c o u n t G r o u p I n f o >  
         < A c c o u n t G r o u p I n f o >  
             < N a m e > I n c o m e   f r o m   p l a c e m e n t s   w i t h   f i n a n c i a l   i n s t i t u t i o n s < / N a m e >  
             < T a r g e t A c c o u n t I D > - 7 3 7 9 8 6 8 2 0 0 9 9 9 9 9 8 6 4 6 < / T a r g e t A c c o u n t I D >  
             < T a r g e t A c c o u n t N u m b e r > 8 1 1 0 . 4 A < / T a r g e t A c c o u n t N u m b e r >  
         < / A c c o u n t G r o u p I n f o >  
         < A c c o u n t G r o u p I n f o >  
             < N a m e > I n c o m e   f r o m   T D R < / N a m e >  
             < T a r g e t A c c o u n t I D > - 7 3 7 9 8 6 8 2 0 0 9 9 9 9 9 8 6 4 5 < / T a r g e t A c c o u n t I D >  
             < T a r g e t A c c o u n t N u m b e r > 8 1 1 0 . 5 A < / T a r g e t A c c o u n t N u m b e r >  
         < / A c c o u n t G r o u p I n f o >  
         < A c c o u n t G r o u p I n f o >  
             < N a m e > I n c o m e   o n   N C C P L   m a r g i n < / N a m e >  
             < T a r g e t A c c o u n t I D > - 7 3 7 9 8 6 8 2 0 0 9 9 9 9 9 8 6 4 4 < / T a r g e t A c c o u n t I D >  
             < T a r g e t A c c o u n t N u m b e r > 8 1 1 0 . 6 A < / T a r g e t A c c o u n t N u m b e r >  
         < / A c c o u n t G r o u p I n f o >  
         < A c c o u n t G r o u p I n f o >  
             < N a m e > P r e   I P O   p a r t i c i p a t i o n   i n c o m e < / N a m e >  
             < T a r g e t A c c o u n t I D > - 7 3 7 9 8 6 8 2 0 0 9 9 9 9 9 8 4 3 6 < / T a r g e t A c c o u n t I D >  
             < T a r g e t A c c o u n t N u m b e r > 8 1 1 0 . 6 B < / T a r g e t A c c o u n t N u m b e r >  
         < / A c c o u n t G r o u p I n f o >  
         < A c c o u n t G r o u p I n f o >  
             < N a m e > P r o f i t   o n   b a n k   d e p o s i t s < / N a m e >  
             < T a r g e t A c c o u n t I D > - 7 3 7 9 8 6 8 2 0 0 9 9 9 9 9 8 6 4 3 < / T a r g e t A c c o u n t I D >  
             < T a r g e t A c c o u n t N u m b e r > 8 1 1 0 . 7 A < / T a r g e t A c c o u n t N u m b e r >  
         < / A c c o u n t G r o u p I n f o >  
         < A c c o u n t G r o u p I n f o >  
             < N a m e > U n r e a l i z e d   a p p r e c i a t i o n   /   ( d i m i n u i t i o n )   i n   v a l u e   o f   i n v e s t m e n t s   a t   f a i r   v a l u e   t h r o u g h   p r o f i t   o r   l o s s < / N a m e >  
             < T a r g e t A c c o u n t I D > - 7 3 7 9 8 6 8 2 0 0 9 9 9 9 9 8 6 9 2 < / T a r g e t A c c o u n t I D >  
             < T a r g e t A c c o u n t N u m b e r > 8 1 1 0 . 8 A < / T a r g e t A c c o u n t N u m b e r >  
         < / A c c o u n t G r o u p I n f o >  
         < A c c o u n t G r o u p I n f o >  
             < N a m e > D i v i d e n d   I n c o m e < / N a m e >  
             < T a r g e t A c c o u n t I D > 2 4 7 1 7 0 1 8 2 8 3 0 0 0 0 0 1 2 9 < / T a r g e t A c c o u n t I D >  
             < T a r g e t A c c o u n t N u m b e r > 8 1 1 0 . 9 A < / T a r g e t A c c o u n t N u m b e r >  
         < / A c c o u n t G r o u p I n f o >  
         < A c c o u n t G r o u p I n f o >  
             < N a m e > I m p a i r m e n t   l o s s < / N a m e >  
             < T a r g e t A c c o u n t I D > - 7 3 7 9 8 6 8 2 0 0 9 9 9 9 9 8 6 9 1 < / T a r g e t A c c o u n t I D >  
             < T a r g e t A c c o u n t N u m b e r > 8 1 1 1 < / T a r g e t A c c o u n t N u m b e r >  
         < / A c c o u n t G r o u p I n f o >  
         < A c c o u n t G r o u p I n f o >  
             < N a m e > R e m u n e r a t i o n   o f   m a n a g e m e n t   c o m p a n y < / N a m e >  
             < T a r g e t A c c o u n t I D > - 7 3 7 9 8 6 8 2 0 0 9 9 9 9 9 8 6 9 0 < / T a r g e t A c c o u n t I D >  
             < T a r g e t A c c o u n t N u m b e r > 8 1 2 0 . 1 < / T a r g e t A c c o u n t N u m b e r >  
         < / A c c o u n t G r o u p I n f o >  
         < A c c o u n t G r o u p I n f o >  
             < N a m e > R e m u n e r a t i o n   o f   C D C   -   T r u s t e e < / N a m e >  
             < T a r g e t A c c o u n t I D > - 7 3 7 9 8 6 8 2 0 0 9 9 9 9 9 8 6 8 9 < / T a r g e t A c c o u n t I D >  
             < T a r g e t A c c o u n t N u m b e r > 8 1 2 0 . 1 A < / T a r g e t A c c o u n t N u m b e r >  
         < / A c c o u n t G r o u p I n f o >  
         < A c c o u n t G r o u p I n f o >  
             < N a m e > A n n u a l   f e e   -   S E C P < / N a m e >  
             < T a r g e t A c c o u n t I D > - 7 3 7 9 8 6 8 2 0 0 9 9 9 9 9 8 6 8 8 < / T a r g e t A c c o u n t I D >  
             < T a r g e t A c c o u n t N u m b e r > 8 1 2 0 . 2 A < / T a r g e t A c c o u n t N u m b e r >  
         < / A c c o u n t G r o u p I n f o >  
         < A c c o u n t G r o u p I n f o >  
             < N a m e > S e c u r i t i e s   t r a n s a c t i n   c o s t < / N a m e >  
             < T a r g e t A c c o u n t I D > - 7 3 7 9 8 6 8 2 0 0 9 9 9 9 9 8 6 8 7 < / T a r g e t A c c o u n t I D >  
             < T a r g e t A c c o u n t N u m b e r > 8 1 3 0 . 1 < / T a r g e t A c c o u n t N u m b e r >  
         < / A c c o u n t G r o u p I n f o >  
         < A c c o u n t G r o u p I n f o >  
             < N a m e > C o n v e r s i o n   c o s t < / N a m e >  
             < T a r g e t A c c o u n t I D > - 7 3 7 9 8 6 8 2 0 0 9 9 9 9 9 8 6 8 5 < / T a r g e t A c c o u n t I D >  
             < T a r g e t A c c o u n t N u m b e r > 8 1 3 0 . 2 < / T a r g e t A c c o u n t N u m b e r >  
         < / A c c o u n t G r o u p I n f o >  
         < A c c o u n t G r o u p I n f o >  
             < N a m e > F i n a n c i a l   C h a r g e s < / N a m e >  
             < T a r g e t A c c o u n t I D > - 7 3 7 9 8 6 8 2 0 0 9 9 9 9 9 8 5 9 1 < / T a r g e t A c c o u n t I D >  
             < T a r g e t A c c o u n t N u m b e r > 8 1 3 0 . 3 < / T a r g e t A c c o u n t N u m b e r >  
         < / A c c o u n t G r o u p I n f o >  
         < A c c o u n t G r o u p I n f o >  
             < N a m e > B a n k   C h a r g e s < / N a m e >  
             < T a r g e t A c c o u n t I D > - 7 3 7 9 8 6 8 2 0 0 9 9 9 9 9 8 5 9 0 < / T a r g e t A c c o u n t I D >  
             < T a r g e t A c c o u n t N u m b e r > 8 1 3 0 . 4 < / T a r g e t A c c o u n t N u m b e r >  
         < / A c c o u n t G r o u p I n f o >  
         < A c c o u n t G r o u p I n f o >  
             < N a m e > R r e v e r s a l   o f   P r o v i s i o n   A g a i n s t   D e b t   s e c u r i t i e s < / N a m e >  
             < T a r g e t A c c o u n t I D > - 7 3 7 9 8 6 8 2 0 0 9 9 9 9 9 8 5 8 9 < / T a r g e t A c c o u n t I D >  
             < T a r g e t A c c o u n t N u m b e r > 8 1 3 3 < / T a r g e t A c c o u n t N u m b e r >  
         < / A c c o u n t G r o u p I n f o >  
         < A c c o u n t G r o u p I n f o >  
             < N a m e > F e e s   a n d   s u b s c r i p t i o n < / N a m e >  
             < T a r g e t A c c o u n t I D > - 7 3 7 9 8 6 8 2 0 0 9 9 9 9 9 8 6 8 6 < / T a r g e t A c c o u n t I D >  
             < T a r g e t A c c o u n t N u m b e r > 8 1 4 0 . 1 < / T a r g e t A c c o u n t N u m b e r >  
         < / A c c o u n t G r o u p I n f o >  
         < A c c o u n t G r o u p I n f o >  
             < N a m e > L e g a l   a n d   P r o f e s s i o n a l   C h a r g e s < / N a m e >  
             < T a r g e t A c c o u n t I D > - 7 3 7 9 8 6 8 2 0 0 9 9 9 9 9 8 5 7 6 < / T a r g e t A c c o u n t I D >  
             < T a r g e t A c c o u n t N u m b e r > 8 1 4 0 . 2 < / T a r g e t A c c o u n t N u m b e r >  
         < / A c c o u n t G r o u p I n f o >  
         < A c c o u n t G r o u p I n f o >  
             < N a m e > S e t t l e m e n t   C h a r g e s < / N a m e >  
             < T a r g e t A c c o u n t I D > - 7 3 7 9 8 6 8 2 0 0 9 9 9 9 9 8 6 8 4 < / T a r g e t A c c o u n t I D >  
             < T a r g e t A c c o u n t N u m b e r > 8 1 5 0 . 1 < / T a r g e t A c c o u n t N u m b e r >  
         < / A c c o u n t G r o u p I n f o >  
         < A c c o u n t G r o u p I n f o >  
             < N a m e > P r i n t i n g   a n d   r e l a t e d   c o s t < / N a m e >  
             < T a r g e t A c c o u n t I D > - 7 3 7 9 8 6 8 2 0 0 9 9 9 9 9 8 6 8 3 < / T a r g e t A c c o u n t I D >  
             < T a r g e t A c c o u n t N u m b e r > 8 1 5 0 . 1 A < / T a r g e t A c c o u n t N u m b e r >  
         < / A c c o u n t G r o u p I n f o >  
         < A c c o u n t G r o u p I n f o >  
             < N a m e > A u d i t o r ' s   r e m u n e r a t i o n < / N a m e >  
             < T a r g e t A c c o u n t I D > - 7 3 7 9 8 6 8 2 0 0 9 9 9 9 9 8 6 8 2 < / T a r g e t A c c o u n t I D >  
             < T a r g e t A c c o u n t N u m b e r > 8 1 5 0 . 2 A < / T a r g e t A c c o u n t N u m b e r >  
         < / A c c o u n t G r o u p I n f o >  
         < A c c o u n t G r o u p I n f o >  
             < N a m e > A m o r t i z a t i o n   o f   p r e l i m i n a r y   e x p e n s e s   a n d   f l o t a t i o n   c o s t s < / N a m e >  
             < T a r g e t A c c o u n t I D > - 7 3 7 9 8 6 8 2 0 0 9 9 9 9 9 8 6 8 1 < / T a r g e t A c c o u n t I D >  
             < T a r g e t A c c o u n t N u m b e r > 8 1 5 0 . 3 A < / T a r g e t A c c o u n t N u m b e r >  
         < / A c c o u n t G r o u p I n f o >  
         < A c c o u n t G r o u p I n f o >  
             < N a m e > P r o v i s i o n   A g a i n s t   I m p a i r m e n t   L o s s - E X P < / N a m e >  
             < T a r g e t A c c o u n t I D > - 7 3 7 9 8 6 8 2 0 0 9 9 9 9 9 8 6 8 0 < / T a r g e t A c c o u n t I D >  
             < T a r g e t A c c o u n t N u m b e r > 8 1 6 0 . 1 < / T a r g e t A c c o u n t N u m b e r >  
         < / A c c o u n t G r o u p I n f o >  
         < A c c o u n t G r o u p I n f o >  
             < N a m e > W W F - E X P < / N a m e >  
             < T a r g e t A c c o u n t I D > - 7 3 7 9 8 6 8 2 0 0 9 9 9 9 9 8 5 8 8 < / T a r g e t A c c o u n t I D >  
             < T a r g e t A c c o u n t N u m b e r > 8 1 6 0 . 2 < / T a r g e t A c c o u n t N u m b e r >  
         < / A c c o u n t G r o u p I n f o >  
         < A c c o u n t G r o u p I n f o >  
             < N a m e > S a l e s   T a x   o n   T r u s t e e   F e e s < / N a m e >  
             < T a r g e t A c c o u n t I D > - 7 3 7 9 8 6 8 2 0 0 9 9 9 9 9 8 4 4 6 < / T a r g e t A c c o u n t I D >  
             < T a r g e t A c c o u n t N u m b e r > 8 1 7 0 . 1 < / T a r g e t A c c o u n t N u m b e r >  
         < / A c c o u n t G r o u p I n f o >  
         < A c c o u n t G r o u p I n f o >  
             < N a m e > B a c k   o f f i c e   e x p e n s e < / N a m e >  
             < T a r g e t A c c o u n t I D > - 7 3 7 9 8 6 8 2 0 0 9 9 9 9 9 8 4 4 3 < / T a r g e t A c c o u n t I D >  
             < T a r g e t A c c o u n t N u m b e r > 8 1 8 0 . 1 < / T a r g e t A c c o u n t N u m b e r >  
         < / A c c o u n t G r o u p I n f o >  
         < A c c o u n t G r o u p I n f o >  
             < N a m e > R e a l i z e d   E l e m e n t   & a m p ;   C G < / N a m e >  
             < T a r g e t A c c o u n t I D > - 7 3 7 9 8 6 8 2 0 0 9 9 9 9 9 8 6 5 3 < / T a r g e t A c c o u n t I D >  
             < T a r g e t A c c o u n t N u m b e r > 9 1 1 0 . 1 < / T a r g e t A c c o u n t N u m b e r >  
         < / A c c o u n t G r o u p I n f o >  
         < A c c o u n t G r o u p I n f o >  
             < N a m e > U n r e a l i z e d   E l e m e n t   & a m p ;   C a p i t a l   G a i n < / N a m e >  
             < T a r g e t A c c o u n t I D > - 7 3 7 9 8 6 8 2 0 0 9 9 9 9 9 8 6 5 1 < / T a r g e t A c c o u n t I D >  
             < T a r g e t A c c o u n t N u m b e r > 9 1 1 0 . 2 < / T a r g e t A c c o u n t N u m b e r >  
         < / A c c o u n t G r o u p I n f o >  
     < / A c c o u n t G r o u p s >  
     < A c c o u n t s >  
         < A c c o u n t S t o r a g e >  
             < A c c o u n t B a l a n c e s >  
                 < A c c o u n t B a l a n c e >  
                     < F i e l d N a m e > P r i o r P e r i o d 1 B a l a n c e < / F i e l d N a m e >  
                     < B a l a n c e > 6 3 3 7 4 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 2 4 7 1 7 0 1 8 2 8 3 0 0 0 0 0 0 6 5 < / I D >  
             < T a r g e t A c c o u n t I D > - 7 3 7 9 8 6 8 2 0 0 9 9 9 9 9 8 6 7 5 < / T a r g e t A c c o u n t I D >  
             < C h a r t I D > - 7 3 7 9 8 6 8 2 0 0 9 9 9 9 9 8 6 9 7 < / C h a r t I D >  
             < I s L i n k e d > f a l s e < / I s L i n k e d >  
             < N u m b e r > 0 1 0 1 0 0 1 0 0 0 0 1 < / N u m b e r >  
             < N a m e > B A N K   B A L A N C E S   -   A L L I E D   B A N K   L I M I T E D   -   F O R E I G N   E X C H A N G E   B R A N C H < / N a m e >  
             < A J E > 0 < / A J E >  
             < A d j u s t > 5 1 8 0 < / A d j u s t >  
             < R J E > 0 < / R J E >  
             < P r e l i m i n a r y > 5 1 8 0 < / P r e l i m i n a r y >  
             < F i n a l > 5 1 8 0 < / F i n a l >  
         < / A c c o u n t S t o r a g e >  
         < A c c o u n t S t o r a g e >  
             < A c c o u n t B a l a n c e s >  
                 < A c c o u n t B a l a n c e >  
                     < F i e l d N a m e > P r i o r P e r i o d 1 B a l a n c e < / F i e l d N a m e >  
                     < B a l a n c e > 2 1 0 8 3 < / B a l a n c e >  
                 < / A c c o u n t B a l a n c e >  
                 < A c c o u n t B a l a n c e >  
                     < F i e l d N a m e > P r i o r P e r i o d 2 B a l a n c e < / F i e l d N a m e >  
                     < B a l a n c e > 4 9 1 2 5 < / B a l a n c e >  
                 < / A c c o u n t B a l a n c e >  
                 < A c c o u n t B a l a n c e >  
                     < F i e l d N a m e > P r i o r P e r i o d 3 B a l a n c e < / F i e l d N a m e >  
                     < B a l a n c e > 6 2 2 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 - 7 3 7 9 8 6 8 2 0 0 9 9 9 9 9 8 5 7 5 < / I D >  
             < T a r g e t A c c o u n t I D > - 7 3 7 9 8 6 8 2 0 0 9 9 9 9 9 8 6 7 5 < / T a r g e t A c c o u n t I D >  
             < C h a r t I D > - 7 3 7 9 8 6 8 2 0 0 9 9 9 9 9 8 6 9 7 < / C h a r t I D >  
             < I s L i n k e d > f a l s e < / I s L i n k e d >  
             < N u m b e r > 0 1 0 1 0 0 1 0 0 0 0 5 < / N u m b e r >  
             < N a m e > B A N K   B A L A N C E S   -   B A N K   A L   F A L A H   L I M I T E D     -   K S E   B R A N C H < / N a m e >  
             < A J E > 0 < / A J E >  
             < A d j u s t > 1 1 9 8 < / A d j u s t >  
             < R J E > 0 < / R J E >  
             < P r e l i m i n a r y > 1 1 9 8 < / P r e l i m i n a r y >  
             < F i n a l > 1 1 9 8 < / F i n a l >  
         < / A c c o u n t S t o r a g e >  
         < A c c o u n t S t o r a g e >  
             < A c c o u n t B a l a n c e s >  
                 < A c c o u n t B a l a n c e >  
                     < F i e l d N a m e > P r i o r P e r i o d 1 B a l a n c e < / F i e l d N a m e >  
                     < B a l a n c e > 1 0 < / B a l a n c e >  
                 < / A c c o u n t B a l a n c e >  
                 < A c c o u n t B a l a n c e >  
                     < F i e l d N a m e > P r i o r P e r i o d 2 B a l a n c e < / F i e l d N a m e >  
                     < B a l a n c e > 6 2 3 < / B a l a n c e >  
                 < / A c c o u n t B a l a n c e >  
                 < A c c o u n t B a l a n c e >  
                     < F i e l d N a m e > P r i o r P e r i o d 3 B a l a n c e < / F i e l d N a m e >  
                     < B a l a n c e > 1 1 7 0 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 - 7 3 7 9 8 6 8 2 0 0 9 9 9 9 9 8 5 7 4 < / I D >  
             < T a r g e t A c c o u n t I D > - 7 3 7 9 8 6 8 2 0 0 9 9 9 9 9 8 6 7 5 < / T a r g e t A c c o u n t I D >  
             < C h a r t I D > - 7 3 7 9 8 6 8 2 0 0 9 9 9 9 9 8 6 9 7 < / C h a r t I D >  
             < I s L i n k e d > f a l s e < / I s L i n k e d >  
             < N u m b e r > 0 1 0 1 0 0 1 0 0 0 1 1 < / N u m b e r >  
             < N a m e > B A N K   B A L A N C E S   -   F A Y S A L   B A N K   L I M I T E D   -   G U L S H A N   E   I Q B A L   B R A N C H < / N a m e >  
             < A J E > 0 < / A J E >  
             < A d j u s t > 8 < / A d j u s t >  
             < R J E > 0 < / R J E >  
             < P r e l i m i n a r y > 8 < / P r e l i m i n a r y >  
             < F i n a l > 8 < / F i n a l >  
         < / A c c o u n t S t o r a g e >  
         < A c c o u n t S t o r a g e >  
             < A c c o u n t B a l a n c e s >  
                 < A c c o u n t B a l a n c e >  
                     < F i e l d N a m e > P r i o r P e r i o d 1 B a l a n c e < / F i e l d N a m e >  
                     < B a l a n c e > 1 5 5 0 5 < / B a l a n c e >  
                 < / A c c o u n t B a l a n c e >  
                 < A c c o u n t B a l a n c e >  
                     < F i e l d N a m e > P r i o r P e r i o d 2 B a l a n c e < / F i e l d N a m e >  
                     < B a l a n c e > 4 3 8 5 < / B a l a n c e >  
                 < / A c c o u n t B a l a n c e >  
                 < A c c o u n t B a l a n c e >  
                     < F i e l d N a m e > P r i o r P e r i o d 3 B a l a n c e < / F i e l d N a m e >  
                     < B a l a n c e > 1 0 8 7 1 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 - 7 3 7 9 8 6 8 2 0 0 9 9 9 9 9 8 5 7 3 < / I D >  
             < T a r g e t A c c o u n t I D > - 7 3 7 9 8 6 8 2 0 0 9 9 9 9 9 8 6 7 5 < / T a r g e t A c c o u n t I D >  
             < C h a r t I D > - 7 3 7 9 8 6 8 2 0 0 9 9 9 9 9 8 6 9 7 < / C h a r t I D >  
             < I s L i n k e d > f a l s e < / I s L i n k e d >  
             < N u m b e r > 0 1 0 1 0 0 1 0 0 0 1 4 < / N u m b e r >  
             < N a m e > B A N K   B A L A N C E S   -   H A B I B   M E T R O P O L I T A N   B A N K   L I M I T E D   -   K A R A C H I   S T O C K   E X C H A N G E   B R A N C H < / N a m e >  
             < A J E > 0 < / A J E >  
             < A d j u s t > 1 5 4 4 < / A d j u s t >  
             < R J E > 0 < / R J E >  
             < P r e l i m i n a r y > 1 5 4 4 < / P r e l i m i n a r y >  
             < F i n a l > 1 5 4 4 < / F i n a l >  
         < / A c c o u n t S t o r a g e >  
         < A c c o u n t S t o r a g e >  
             < A c c o u n t B a l a n c e s >  
                 < A c c o u n t B a l a n c e >  
                     < F i e l d N a m e > P r i o r P e r i o d 1 B a l a n c e < / F i e l d N a m e >  
                     < B a l a n c e > 2 4 4 2 < / B a l a n c e >  
                 < / A c c o u n t B a l a n c e >  
                 < A c c o u n t B a l a n c e >  
                     < F i e l d N a m e > P r i o r P e r i o d 2 B a l a n c e < / F i e l d N a m e >  
                     < B a l a n c e > 1 0 6 4 3 0 6 < / B a l a n c e >  
                 < / A c c o u n t B a l a n c e >  
                 < A c c o u n t B a l a n c e >  
                     < F i e l d N a m e > P r i o r P e r i o d 3 B a l a n c e < / F i e l d N a m e >  
                     < B a l a n c e > 1 6 8 4 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 - 7 3 7 9 8 6 8 2 0 0 9 9 9 9 9 8 5 7 2 < / I D >  
             < T a r g e t A c c o u n t I D > - 7 3 7 9 8 6 8 2 0 0 9 9 9 9 9 8 6 7 5 < / T a r g e t A c c o u n t I D >  
             < C h a r t I D > - 7 3 7 9 8 6 8 2 0 0 9 9 9 9 9 8 6 9 7 < / C h a r t I D >  
             < I s L i n k e d > f a l s e < / I s L i n k e d >  
             < N u m b e r > 0 1 0 1 0 0 1 0 0 0 1 5 < / N u m b e r >  
             < N a m e > B A N K   B A L A N C E S   -   H A B I B   M E T R O   B A N K   -   M A I N   B R A N C H < / N a m e >  
             < A J E > 0 < / A J E >  
             < A d j u s t > 1 2 0 1 < / A d j u s t >  
             < R J E > 0 < / R J E >  
             < P r e l i m i n a r y > 1 2 0 1 < / P r e l i m i n a r y >  
             < F i n a l > 1 2 0 1 < / F i n a l >  
         < / A c c o u n t S t o r a g e >  
         < A c c o u n t S t o r a g e >  
             < A c c o u n t B a l a n c e s >  
                 < A c c o u n t B a l a n c e >  
                     < F i e l d N a m e > P r i o r P e r i o d 1 B a l a n c e < / F i e l d N a m e >  
                     < B a l a n c e > 3 4 < / B a l a n c e >  
                 < / A c c o u n t B a l a n c e >  
                 < A c c o u n t B a l a n c e >  
                     < F i e l d N a m e > P r i o r P e r i o d 2 B a l a n c e < / F i e l d N a m e >  
                     < B a l a n c e > 1 6 5 7 9 6 < / B a l a n c e >  
                 < / A c c o u n t B a l a n c e >  
                 < A c c o u n t B a l a n c e >  
                     < F i e l d N a m e > P r i o r P e r i o d 3 B a l a n c e < / F i e l d N a m e >  
                     < B a l a n c e > 2 5 8 1 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 - 7 3 7 9 8 6 8 2 0 0 9 9 9 9 9 8 5 7 1 < / I D >  
             < T a r g e t A c c o u n t I D > - 7 3 7 9 8 6 8 2 0 0 9 9 9 9 9 8 6 7 5 < / T a r g e t A c c o u n t I D >  
             < C h a r t I D > - 7 3 7 9 8 6 8 2 0 0 9 9 9 9 9 8 6 9 7 < / C h a r t I D >  
             < I s L i n k e d > f a l s e < / I s L i n k e d >  
             < N u m b e r > 0 1 0 1 0 0 1 0 0 0 1 7 < / N u m b e r >  
             < N a m e > B A N K   B A L A N C E S   -   M C B   B A N K   L I M I T E D   -   U N I   T O W E R   B R A N C H < / N a m e >  
             < A J E > 0 < / A J E >  
             < A d j u s t > 9 < / A d j u s t >  
             < R J E > 0 < / R J E >  
             < P r e l i m i n a r y > 9 < / P r e l i m i n a r y >  
             < F i n a l > 9 < / F i n a l >  
         < / A c c o u n t S t o r a g e >  
         < A c c o u n t S t o r a g e >  
             < A c c o u n t B a l a n c e s >  
                 < A c c o u n t B a l a n c e >  
                     < F i e l d N a m e > P r i o r P e r i o d 1 B a l a n c e < / F i e l d N a m e >  
                     < B a l a n c e > 1 1 < / B a l a n c e >  
                 < / A c c o u n t B a l a n c e >  
                 < A c c o u n t B a l a n c e >  
                     < F i e l d N a m e > P r i o r P e r i o d 2 B a l a n c e < / F i e l d N a m e >  
                     < B a l a n c e > 1 1 < / B a l a n c e >  
                 < / A c c o u n t B a l a n c e >  
                 < A c c o u n t B a l a n c e >  
                     < F i e l d N a m e > P r i o r P e r i o d 3 B a l a n c e < / F i e l d N a m e >  
                     < B a l a n c e > 7 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 - 7 3 7 9 8 6 8 2 0 0 9 9 9 9 9 8 4 7 9 < / I D >  
             < T a r g e t A c c o u n t I D > - 7 3 7 9 8 6 8 2 0 0 9 9 9 9 9 8 6 7 5 < / T a r g e t A c c o u n t I D >  
             < C h a r t I D > - 7 3 7 9 8 6 8 2 0 0 9 9 9 9 9 8 6 9 7 < / C h a r t I D >  
             < I s L i n k e d > f a l s e < / I s L i n k e d >  
             < N u m b e r > 0 1 0 1 0 0 1 0 0 0 2 1 < / N u m b e r >  
             < N a m e > B A N K   B A L A N C E S   -   M C B   B A N K   L I M I T E D   -   G L O B A L   T R A N S A C T I O N   -   S H A H E E N   C O M P L E X   B R A N C H < / N a m e >  
             < A J E > 0 < / A J E >  
             < A d j u s t > 1 1 < / A d j u s t >  
             < R J E > 0 < / R J E >  
             < P r e l i m i n a r y > 1 1 < / P r e l i m i n a r y >  
             < F i n a l > 1 1 < / F i n a l >  
         < / A c c o u n t S t o r a g e >  
         < A c c o u n t S t o r a g e >  
             < A c c o u n t B a l a n c e s >  
                 < A c c o u n t B a l a n c e >  
                     < F i e l d N a m e > P r i o r P e r i o d 1 B a l a n c e < / F i e l d N a m e >  
                     < B a l a n c e > 1 2 < / B a l a n c e >  
                 < / A c c o u n t B a l a n c e >  
                 < A c c o u n t B a l a n c e >  
                     < F i e l d N a m e > P r i o r P e r i o d 2 B a l a n c e < / F i e l d N a m e >  
                     < B a l a n c e > 2 1 1 3 < / B a l a n c e >  
                 < / A c c o u n t B a l a n c e >  
                 < A c c o u n t B a l a n c e >  
                     < F i e l d N a m e > P r i o r P e r i o d 3 B a l a n c e < / F i e l d N a m e >  
                     < B a l a n c e > 9 2 9 4 2 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 - 7 3 7 9 8 6 8 2 0 0 9 9 9 9 9 8 5 7 0 < / I D >  
             < T a r g e t A c c o u n t I D > - 7 3 7 9 8 6 8 2 0 0 9 9 9 9 9 8 6 7 5 < / T a r g e t A c c o u n t I D >  
             < C h a r t I D > - 7 3 7 9 8 6 8 2 0 0 9 9 9 9 9 8 6 9 7 < / C h a r t I D >  
             < I s L i n k e d > f a l s e < / I s L i n k e d >  
             < N u m b e r > 0 1 0 1 0 0 1 0 0 0 2 7 < / N u m b e r >  
             < N a m e > B A N K   B A L A N C E S   -   N I B   B A N K   L I M I T E D   -   C L O T H   M A R K E T   B R A N C H < / N a m e >  
             < A J E > 0 < / A J E >  
             < A d j u s t > 0 < / A d j u s t >  
             < R J E > 0 < / R J E >  
             < P r e l i m i n a r y > 0 < / P r e l i m i n a r y >  
             < F i n a l > 0 < / F i n a l >  
         < / A c c o u n t S t o r a g e >  
         < A c c o u n t S t o r a g e >  
             < A c c o u n t B a l a n c e s >  
                 < A c c o u n t B a l a n c e >  
                     < F i e l d N a m e > P r i o r P e r i o d 1 B a l a n c e < / F i e l d N a m e >  
                     < B a l a n c e > 2 2 < / B a l a n c e >  
                 < / A c c o u n t B a l a n c e >  
                 < A c c o u n t B a l a n c e >  
                     < F i e l d N a m e > P r i o r P e r i o d 2 B a l a n c e < / F i e l d N a m e >  
                     < B a l a n c e > 6 4 3 < / B a l a n c e >  
                 < / A c c o u n t B a l a n c e >  
                 < A c c o u n t B a l a n c e >  
                     < F i e l d N a m e > P r i o r P e r i o d 3 B a l a n c e < / F i e l d N a m e >  
                     < B a l a n c e > 3 6 8 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 - 7 3 7 9 8 6 8 2 0 0 9 9 9 9 9 8 4 8 1 < / I D >  
             < T a r g e t A c c o u n t I D > - 7 3 7 9 8 6 8 2 0 0 9 9 9 9 9 8 6 7 5 < / T a r g e t A c c o u n t I D >  
             < C h a r t I D > - 7 3 7 9 8 6 8 2 0 0 9 9 9 9 9 8 6 9 7 < / C h a r t I D >  
             < I s L i n k e d > f a l s e < / I s L i n k e d >  
             < N u m b e r > 0 1 0 1 0 0 1 0 0 0 4 0 < / N u m b e r >  
             < N a m e > B A N K   B A L A N C E S   -   U N I T E D   B A N K   L I M I T E D   -   C O R P O R A T E   B R A N C H < / N a m e >  
             < A J E > 0 < / A J E >  
             < A d j u s t > 1 3 4 6 < / A d j u s t >  
             < R J E > 0 < / R J E >  
             < P r e l i m i n a r y > 1 3 4 6 < / P r e l i m i n a r y >  
             < F i n a l > 1 3 4 6 < / F i n a l >  
         < / A c c o u n t S t o r a g e >  
         < A c c o u n t S t o r a g e >  
             < A c c o u n t B a l a n c e s >  
                 < A c c o u n t B a l a n c e >  
                     < F i e l d N a m e > P r i o r P e r i o d 1 B a l a n c e < / F i e l d N a m e >  
                     < B a l a n c e > 1 0 3 < / B a l a n c e >  
                 < / A c c o u n t B a l a n c e >  
                 < A c c o u n t B a l a n c e >  
                     < F i e l d N a m e > P r i o r P e r i o d 2 B a l a n c e < / F i e l d N a m e >  
                     < B a l a n c e > 4 1 8 3 < / B a l a n c e >  
                 < / A c c o u n t B a l a n c e >  
                 < A c c o u n t B a l a n c e >  
                     < F i e l d N a m e > P r i o r P e r i o d 3 B a l a n c e < / F i e l d N a m e >  
                     < B a l a n c e > 4 1 3 0 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 - 7 3 7 9 8 6 8 2 0 0 9 9 9 9 9 8 4 8 0 < / I D >  
             < T a r g e t A c c o u n t I D > - 7 3 7 9 8 6 8 2 0 0 9 9 9 9 9 8 6 7 5 < / T a r g e t A c c o u n t I D >  
             < C h a r t I D > - 7 3 7 9 8 6 8 2 0 0 9 9 9 9 9 8 6 9 7 < / C h a r t I D >  
             < I s L i n k e d > f a l s e < / I s L i n k e d >  
             < N u m b e r > 0 1 0 1 0 0 1 0 0 0 5 4 < / N u m b e r >  
             < N a m e > B a n k   B a l a n c e s   -   M c b   B a n k   L i m i t e d   -   S h a h e e n   C o m p l e x   B r a n c h < / N a m e >  
             < A J E > 0 < / A J E >  
             < A d j u s t > 1 5 7 9 < / A d j u s t >  
             < R J E > 0 < / R J E >  
             < P r e l i m i n a r y > 1 5 7 9 < / P r e l i m i n a r y >  
             < F i n a l > 1 5 7 9 < / F i n a l >  
         < / A c c o u n t S t o r a g e >  
         < A c c o u n t S t o r a g e >  
             < A c c o u n t B a l a n c e s >  
                 < A c c o u n t B a l a n c e >  
                     < F i e l d N a m e > P r i o r P e r i o d 1 B a l a n c e < / F i e l d N a m e >  
                     < B a l a n c e > 5 < / B a l a n c e >  
                 < / A c c o u n t B a l a n c e >  
                 < A c c o u n t B a l a n c e >  
                     < F i e l d N a m e > P r i o r P e r i o d 2 B a l a n c e < / F i e l d N a m e >  
                     < B a l a n c e > 7 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 - 7 3 7 9 8 6 8 2 0 0 9 9 9 9 9 8 4 4 0 < / I D >  
             < T a r g e t A c c o u n t I D > - 7 3 7 9 8 6 8 2 0 0 9 9 9 9 9 8 6 7 5 < / T a r g e t A c c o u n t I D >  
             < C h a r t I D > - 7 3 7 9 8 6 8 2 0 0 9 9 9 9 9 8 6 9 7 < / C h a r t I D >  
             < I s L i n k e d > f a l s e < / I s L i n k e d >  
             < N u m b e r > 0 1 0 1 0 0 1 0 0 0 6 9 < / N u m b e r >  
             < N a m e > B a n k   B a l a n c e s   -   B a n k   A l   H a b i b   L i m i t e d   -   M a i n   B r a n c h < / N a m e >  
             < A J E > 0 < / A J E >  
             < A d j u s t > 5 < / A d j u s t >  
             < R J E > 0 < / R J E >  
             < P r e l i m i n a r y > 5 < / P r e l i m i n a r y >  
             < F i n a l > 5 < / F i n a l >  
         < / A c c o u n t S t o r a g e >  
         < A c c o u n t S t o r a g e >  
             < A c c o u n t B a l a n c e s >  
                 < A c c o u n t B a l a n c e >  
                     < F i e l d N a m e > P r i o r P e r i o d 1 B a l a n c e < / F i e l d N a m e >  
                     < B a l a n c e > 4 7 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 2 4 7 1 7 0 1 8 2 8 3 0 0 0 0 0 0 6 6 < / I D >  
             < T a r g e t A c c o u n t I D > - 7 3 7 9 8 6 8 2 0 0 9 9 9 9 9 8 6 7 5 < / T a r g e t A c c o u n t I D >  
             < C h a r t I D > - 7 3 7 9 8 6 8 2 0 0 9 9 9 9 9 8 6 9 7 < / C h a r t I D >  
             < I s L i n k e d > f a l s e < / I s L i n k e d >  
             < N u m b e r > 0 1 0 1 0 0 1 0 0 0 7 2 < / N u m b e r >  
             < N a m e > B a n k   B a l a n c e s   -   Z a r a i   T a r a q i a t i   B a n k   L i m i t e d   -   S h a f i   C o u r t   B r a n c h < / N a m e >  
             < A J E > 0 < / A J E >  
             < A d j u s t > 6 < / A d j u s t >  
             < R J E > 0 < / R J E >  
             < P r e l i m i n a r y > 6 < / P r e l i m i n a r y >  
             < F i n a l > 6 < / F i n a l >  
         < / A c c o u n t S t o r a g e >  
         < A c c o u n t S t o r a g e >  
             < A c c o u n t B a l a n c e s >  
                 < A c c o u n t B a l a n c e >  
                     < F i e l d N a m e > P r i o r P e r i o d 1 B a l a n c e < / F i e l d N a m e >  
                     < B a l a n c e > 4 7 0 0 4 5 < / 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 2 4 7 1 7 0 1 8 2 8 3 0 0 0 0 0 0 6 7 < / I D >  
             < T a r g e t A c c o u n t I D > - 7 3 7 9 8 6 8 2 0 0 9 9 9 9 9 8 6 7 5 < / T a r g e t A c c o u n t I D >  
             < C h a r t I D > - 7 3 7 9 8 6 8 2 0 0 9 9 9 9 9 8 6 9 7 < / C h a r t I D >  
             < I s L i n k e d > f a l s e < / I s L i n k e d >  
             < N u m b e r > 0 1 0 1 0 0 1 0 0 0 7 5 < / N u m b e r >  
             < N a m e > B a n k   B a l a n c e s   -   J s   B a n k   L i m i t e d   -   O c e a n   T o w e r ,   C l i f t o n   B r a n c h < / N a m e >  
             < A J E > 0 < / A J E >  
             < A d j u s t > 1 7 5 < / A d j u s t >  
             < R J E > 0 < / R J E >  
             < P r e l i m i n a r y > 1 7 5 < / P r e l i m i n a r y >  
             < F i n a l > 1 7 5 < / F i n a l >  
         < / A c c o u n t S t o r a g e >  
         < A c c o u n t S t o r a g e >  
             < A c c o u n t B a l a n c e s >  
                 < A c c o u n t B a l a n c e >  
                     < F i e l d N a m e > P r i o r P e r i o d 1 B a l a n c e < / F i e l d N a m e >  
                     < B a l a n c e > 6 8 8 7 7 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 2 4 7 1 7 0 1 8 2 8 3 0 0 0 0 0 0 6 8 < / I D >  
             < T a r g e t A c c o u n t I D > - 7 3 7 9 8 6 8 2 0 0 9 9 9 9 9 8 6 7 5 < / T a r g e t A c c o u n t I D >  
             < C h a r t I D > - 7 3 7 9 8 6 8 2 0 0 9 9 9 9 9 8 6 9 7 < / C h a r t I D >  
             < I s L i n k e d > f a l s e < / I s L i n k e d >  
             < N u m b e r > 0 1 0 1 0 0 1 0 0 0 7 7 < / N u m b e r >  
             < N a m e > B a n k   B a l a n c e s   -   N R S P   M i c r o f i n a n c e   B a n k   L i m i t e d < / N a m e >  
             < A J E > 0 < / A J E >  
             < A d j u s t > 3 < / A d j u s t >  
             < R J E > 0 < / R J E >  
             < P r e l i m i n a r y > 3 < / P r e l i m i n a r y >  
             < F i n a l > 3 < / F i n a l >  
         < / A c c o u n t S t o r a g e >  
         < A c c o u n t S t o r a g e >  
             < A c c o u n t B a l a n c e s >  
                 < A c c o u n t B a l a n c e >  
                     < F i e l d N a m e > P r i o r P e r i o d 1 B a l a n c e < / F i e l d N a m e >  
                     < B a l a n c e > 6 < / 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 2 4 7 1 7 0 1 8 2 8 3 0 0 0 0 0 0 6 9 < / I D >  
             < T a r g e t A c c o u n t I D > - 7 3 7 9 8 6 8 2 0 0 9 9 9 9 9 8 6 7 5 < / T a r g e t A c c o u n t I D >  
             < C h a r t I D > - 7 3 7 9 8 6 8 2 0 0 9 9 9 9 9 8 6 9 7 < / C h a r t I D >  
             < I s L i n k e d > f a l s e < / I s L i n k e d >  
             < N u m b e r > 0 1 0 1 0 0 1 0 0 0 7 8 < / N u m b e r >  
             < N a m e > B a n k   B a l a n c e s   -   M o b i l i n k   M i c r o f i n a n c e   B a n k   L i m i t e d < / N a m e >  
             < A J E > 0 < / A J E >  
             < A d j u s t > 6 < / A d j u s t >  
             < R J E > 0 < / R J E >  
             < P r e l i m i n a r y > 6 < / P r e l i m i n a r y >  
             < F i n a l > 6 < / F i n a l >  
         < / A c c o u n t S t o r a g e >  
         < A c c o u n t S t o r a g e >  
             < A c c o u n t B a l a n c e s >  
                 < A c c o u n t B a l a n c e >  
                     < F i e l d N a m e > P r i o r P e r i o d 1 B a l a n c e < / F i e l d N a m e >  
                     < B a l a n c e > 8 4 7 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 2 4 7 1 7 0 1 8 2 8 3 0 0 0 0 0 0 7 0 < / I D >  
             < T a r g e t A c c o u n t I D > - 7 3 7 9 8 6 8 2 0 0 9 9 9 9 9 8 6 7 5 < / T a r g e t A c c o u n t I D >  
             < C h a r t I D > - 7 3 7 9 8 6 8 2 0 0 9 9 9 9 9 8 6 9 7 < / C h a r t I D >  
             < I s L i n k e d > f a l s e < / I s L i n k e d >  
             < N u m b e r > 0 1 0 1 0 0 1 0 0 0 7 9 < / N u m b e r >  
             < N a m e > B a n k   B a l a n c e s   -   U   M i c r o f i n a n c e   B a n k   L i m i t e d < / N a m e >  
             < A J E > 0 < / A J E >  
             < A d j u s t > 1 4 1 3 4 4 < / A d j u s t >  
             < R J E > 0 < / R J E >  
             < P r e l i m i n a r y > 1 4 1 3 4 4 < / P r e l i m i n a r y >  
             < F i n a l > 1 4 1 3 4 4 < / F i n a l >  
         < / A c c o u n t S t o r a g e >  
         < A c c o u n t S t o r a g e >  
             < A c c o u n t B a l a n c e s >  
                 < A c c o u n t B a l a n c e >  
                     < F i e l d N a m e > P r i o r P e r i o d 1 B a l a n c e < / F i e l d N a m e >  
                     < B a l a n c e > 3 3 < / 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 2 4 7 1 7 0 1 8 2 8 3 0 0 0 0 0 0 7 1 < / I D >  
             < T a r g e t A c c o u n t I D > - 7 3 7 9 8 6 8 2 0 0 9 9 9 9 9 8 6 7 5 < / T a r g e t A c c o u n t I D >  
             < C h a r t I D > - 7 3 7 9 8 6 8 2 0 0 9 9 9 9 9 8 6 9 7 < / C h a r t I D >  
             < I s L i n k e d > f a l s e < / I s L i n k e d >  
             < N u m b e r > 0 1 0 1 0 0 1 0 0 0 8 0 < / N u m b e r >  
             < N a m e > B a n k   B a l a n c e s   -   K h u s h a l i   M i c r o f i n a n c e   B a n k   L i m i t e d < / N a m e >  
             < A J E > 0 < / A J E >  
             < A d j u s t > 1 2 < / A d j u s t >  
             < R J E > 0 < / R J E >  
             < P r e l i m i n a r y > 1 2 < / P r e l i m i n a r y >  
             < F i n a l > 1 2 < / F i n a l >  
         < / A c c o u n t S t o r a g e >  
         < A c c o u n t S t o r a g e >  
             < A c c o u n t B a l a n c e s >  
                 < A c c o u n t B a l a n c e >  
                     < F i e l d N a m e > P r i o r P e r i o d 1 B a l a n c e < / F i e l d N a m e >  
                     < B a l a n c e > 5 < / 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 2 4 7 1 7 0 1 8 2 8 3 0 0 0 0 0 0 7 2 < / I D >  
             < T a r g e t A c c o u n t I D > - 7 3 7 9 8 6 8 2 0 0 9 9 9 9 9 8 6 7 5 < / T a r g e t A c c o u n t I D >  
             < C h a r t I D > - 7 3 7 9 8 6 8 2 0 0 9 9 9 9 9 8 6 9 7 < / C h a r t I D >  
             < I s L i n k e d > f a l s e < / I s L i n k e d >  
             < N u m b e r > 0 1 0 1 0 0 1 0 0 0 8 2 < / N u m b e r >  
             < N a m e > B a n k   B a l a n c e s   -   T a m e e r   M i c r o f i n a n c e   B a n k < / N a m e >  
             < A J E > 0 < / A J E >  
             < A d j u s t > 6 0 0 < / A d j u s t >  
             < R J E > 0 < / R J E >  
             < P r e l i m i n a r y > 6 0 0 < / P r e l i m i n a r y >  
             < F i n a l > 6 0 0 < / F i n a l >  
         < / A c c o u n t S t o r a g e >  
         < A c c o u n t S t o r a g e >  
             < A c c o u n t B a l a n c e s >  
                 < A c c o u n t B a l a n c e >  
                     < F i e l d N a m e > P r i o r P e r i o d 1 B a l a n c e < / F i e l d N a m e >  
                     < B a l a n c e > 8 < / 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 2 4 7 1 7 0 1 8 2 8 3 0 0 0 0 0 0 7 3 < / I D >  
             < T a r g e t A c c o u n t I D > - 7 3 7 9 8 6 8 2 0 0 9 9 9 9 9 8 6 7 5 < / T a r g e t A c c o u n t I D >  
             < C h a r t I D > - 7 3 7 9 8 6 8 2 0 0 9 9 9 9 9 8 6 9 7 < / C h a r t I D >  
             < I s L i n k e d > f a l s e < / I s L i n k e d >  
             < N u m b e r > 0 1 0 1 0 0 1 0 0 0 8 5 < / N u m b e r >  
             < N a m e > B a n k   B a l a n c e s   -   F i n c a   M i c r o   F i n a n c e   B a n k   ( L i a q u a t a b a d   B r a n c h ) < / N a m e >  
             < A J E > 0 < / A J E >  
             < A d j u s t > 8 < / A d j u s t >  
             < R J E > 0 < / R J E >  
             < P r e l i m i n a r y > 8 < / P r e l i m i n a r y >  
             < F i n a l > 8 < / F i n a l >  
         < / A c c o u n t S t o r a g e >  
         < A c c o u n t S t o r a g e >  
             < A c c o u n t B a l a n c e s >  
                 < A c c o u n t B a l a n c e >  
                     < F i e l d N a m e > P r i o r P e r i o d 1 B a l a n c e < / F i e l d N a m e >  
                     < B a l a n c e > 2 4 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 2 4 7 1 7 0 1 8 2 8 3 0 0 0 0 0 0 7 4 < / I D >  
             < T a r g e t A c c o u n t I D > - 7 3 7 9 8 6 8 2 0 0 9 9 9 9 9 8 6 7 5 < / T a r g e t A c c o u n t I D >  
             < C h a r t I D > - 7 3 7 9 8 6 8 2 0 0 9 9 9 9 9 8 6 9 7 < / C h a r t I D >  
             < I s L i n k e d > f a l s e < / I s L i n k e d >  
             < N u m b e r > 0 1 0 1 0 0 1 0 0 0 8 7 < / N u m b e r >  
             < N a m e > B a n k   B a l a n c e s   -   H a b i b   B a n k   L i m i t e d   -   K s e   B r a n c h < / N a m e >  
             < A J E > 0 < / A J E >  
             < A d j u s t > 4 < / A d j u s t >  
             < R J E > 0 < / R J E >  
             < P r e l i m i n a r y > 4 < / P r e l i m i n a r y >  
             < F i n a l > 4 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 2 7 9 9 2 7 4 6 8 9 4 0 0 0 0 0 0 1 9 < / I D >  
             < T a r g e t A c c o u n t I D > - 7 3 7 9 8 6 8 2 0 0 9 9 9 9 9 8 6 7 5 < / T a r g e t A c c o u n t I D >  
             < C h a r t I D > - 7 3 7 9 8 6 8 2 0 0 9 9 9 9 9 8 6 9 7 < / C h a r t I D >  
             < I s L i n k e d > f a l s e < / I s L i n k e d >  
             < N u m b e r > 0 1 0 1 0 0 1 0 0 0 9 3 < / N u m b e r >  
             < N a m e > B a n k   B a l a n c e s   -   F i r s t   M i c r o   F i n a n c e   B a n k -   C l i f t o n   B r a n c h < / N a m e >  
             < A J E > 0 < / A J E >  
             < A d j u s t > 1 2 5 4 7 3 < / A d j u s t >  
             < R J E > 0 < / R J E >  
             < P r e l i m i n a r y > 1 2 5 4 7 3 < / P r e l i m i n a r y >  
             < F i n a l > 1 2 5 4 7 3 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 2 7 9 9 2 7 4 6 8 9 4 0 0 0 0 0 0 2 0 < / I D >  
             < T a r g e t A c c o u n t I D > - 7 3 7 9 8 6 8 2 0 0 9 9 9 9 9 8 6 7 5 < / T a r g e t A c c o u n t I D >  
             < C h a r t I D > - 7 3 7 9 8 6 8 2 0 0 9 9 9 9 9 8 6 9 7 < / C h a r t I D >  
             < I s L i n k e d > f a l s e < / I s L i n k e d >  
             < N u m b e r > 0 1 0 1 0 0 1 0 0 1 0 0 < / N u m b e r >  
             < N a m e > B a n k   B a l a n c e s   -   N a t i o n a l   B a n k   O f   P a k i s t a n   -   M a i n   B r a n c h < / N a m e >  
             < A J E > 0 < / A J E >  
             < A d j u s t > 1 8 2 6 < / A d j u s t >  
             < R J E > 0 < / R J E >  
             < P r e l i m i n a r y > 1 8 2 6 < / P r e l i m i n a r y >  
             < F i n a l > 1 8 2 6 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 2 7 9 9 2 7 4 6 8 9 4 0 0 0 0 0 0 2 1 < / I D >  
             < T a r g e t A c c o u n t I D > - 7 3 7 9 8 6 8 2 0 0 9 9 9 9 9 8 6 7 5 < / T a r g e t A c c o u n t I D >  
             < C h a r t I D > - 7 3 7 9 8 6 8 2 0 0 9 9 9 9 9 8 6 9 7 < / C h a r t I D >  
             < I s L i n k e d > f a l s e < / I s L i n k e d >  
             < N u m b e r > 0 1 0 1 0 0 1 0 0 1 0 3 < / N u m b e r >  
             < N a m e > B a n k   B a l a n c e s   -   S i l k   B a n k   L i m i t e d   -   M a i n   B r a n c h < / N a m e >  
             < A J E > 0 < / A J E >  
             < A d j u s t > 3 6 4 9 0 4 < / A d j u s t >  
             < R J E > 0 < / R J E >  
             < P r e l i m i n a r y > 3 6 4 9 0 4 < / P r e l i m i n a r y >  
             < F i n a l > 3 6 4 9 0 4 < / F i n a l >  
         < / A c c o u n t S t o r a g e >  
         < A c c o u n t S t o r a g e >  
             < A c c o u n t B a l a n c e s >  
                 < A c c o u n t B a l a n c e >  
                     < F i e l d N a m e > P r i o r P e r i o d 1 B a l a n c e < / F i e l d N a m e >  
                     < B a l a n c e > 6 6 8 1 3 < / 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 2 4 7 1 7 0 1 8 2 8 3 0 0 0 0 0 0 7 9 < / I D >  
             < T a r g e t A c c o u n t I D > - 7 3 7 9 8 6 8 2 0 0 9 9 9 9 9 8 6 7 4 < / T a r g e t A c c o u n t I D >  
             < C h a r t I D > - 7 3 7 9 8 6 8 2 0 0 9 9 9 9 9 8 6 9 7 < / C h a r t I D >  
             < I s L i n k e d > f a l s e < / I s L i n k e d >  
             < N u m b e r > 0 1 0 5 0 0 1 0 0 0 0 1 < / N u m b e r >  
             < N a m e > R E C E I V A B L E   A G A I N S T   S A L E     O F   E Q U I T Y   S E C U R I T I E S 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 - 7 3 7 9 8 6 8 2 0 0 9 9 9 9 9 8 4 5 9 < / I D >  
             < T a r g e t A c c o u n t I D > - 7 3 7 9 8 6 8 2 0 0 9 9 9 9 9 8 6 7 4 < / T a r g e t A c c o u n t I D >  
             < C h a r t I D > - 7 3 7 9 8 6 8 2 0 0 9 9 9 9 9 8 6 9 7 < / C h a r t I D >  
             < I s L i n k e d > f a l s e < / I s L i n k e d >  
             < N u m b e r > 0 1 0 5 0 0 2 0 0 0 0 1 < / N u m b e r >  
             < N a m e > R E C E I V A B L E   A G A I N S T   S A L E   O F   M O N E Y   M A R K E T   I N V E S T M E N T S 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 2 4 7 7 8 1 8 0 9 3 5 0 0 0 0 0 7 1 8 < / I D >  
             < T a r g e t A c c o u n t I D > - 7 3 7 9 8 6 8 2 0 0 9 9 9 9 9 8 6 7 4 < / T a r g e t A c c o u n t I D >  
             < C h a r t I D > - 7 3 7 9 8 6 8 2 0 0 9 9 9 9 9 8 6 9 7 < / C h a r t I D >  
             < I s L i n k e d > f a l s e < / I s L i n k e d >  
             < N u m b e r > 0 1 0 5 0 0 2 0 0 0 0 2 < / N u m b e r >  
             < N a m e > R E C E I V A B L E   A G A I N S T   S A L E   O F   I N V E S T M E N T S < / N a m e >  
             < A J E > 0 < / A J E >  
             < A d j u s t > 0 < / A d j u s t >  
             < R J E > 0 < / R J E >  
             < P r e l i m i n a r y > 0 < / P r e l i m i n a r y >  
             < F i n a l > 0 < / F i n a l >  
         < / A c c o u n t S t o r a g e >  
         < A c c o u n t S t o r a g e >  
             < A c c o u n t B a l a n c e s >  
                 < A c c o u n t B a l a n c e >  
                     < F i e l d N a m e > P r i o r P e r i o d 1 B a l a n c e < / F i e l d N a m e >  
                     < B a l a n c e > 1 0 9 1 9 < / 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 2 4 7 1 7 0 1 8 2 8 3 0 0 0 0 0 0 7 5 < / I D >  
             < T a r g e t A c c o u n t I D > 2 4 7 1 7 0 1 8 2 8 3 0 0 0 0 0 1 3 4 < / T a r g e t A c c o u n t I D >  
             < C h a r t I D > - 7 3 7 9 8 6 8 2 0 0 9 9 9 9 9 8 6 9 7 < / C h a r t I D >  
             < I s L i n k e d > f a l s e < / I s L i n k e d >  
             < N u m b e r > 0 1 0 2 0 0 1 0 0 0 0 1 < / N u m b e r >  
             < N a m e > R E C E I V A B L E   A G A I N S T   M A R G I N   T R A D I N G   S Y S T E M   T R A N S A C T I O N S < / N a m e >  
             < A J E > 0 < / A J E >  
             < A d j u s t > 0 < / A d j u s t >  
             < R J E > 0 < / R J E >  
             < P r e l i m i n a r y > 0 < / P r e l i m i n a r y >  
             < F i n a l > 0 < / F i n a l >  
         < / A c c o u n t S t o r a g e >  
         < A c c o u n t S t o r a g e >  
             < A c c o u n t B a l a n c e s >  
                 < A c c o u n t B a l a n c e >  
                     < F i e l d N a m e > P r i o r P e r i o d 1 B a l a n c e < / F i e l d N a m e >  
                     < B a l a n c e > 4 8 1 9 6 9 < / B a l a n c e >  
                 < / A c c o u n t B a l a n c e >  
                 < A c c o u n t B a l a n c e >  
                     < F i e l d N a m e > P r i o r P e r i o d 2 B a l a n c e < / F i e l d N a m e >  
                     < B a l a n c e > 4 2 2 5 2 8 < / B a l a n c e >  
                 < / A c c o u n t B a l a n c e >  
                 < A c c o u n t B a l a n c e >  
                     < F i e l d N a m e > P r i o r P e r i o d 3 B a l a n c e < / F i e l d N a m e >  
                     < B a l a n c e > 2 1 4 1 7 1 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 - 7 3 7 9 8 6 8 2 0 0 9 9 9 9 9 8 5 6 3 < / I D >  
             < T a r g e t A c c o u n t I D > - 7 3 7 9 8 6 8 2 0 0 9 9 9 9 9 8 6 7 3 < / T a r g e t A c c o u n t I D >  
             < C h a r t I D > - 7 3 7 9 8 6 8 2 0 0 9 9 9 9 9 8 6 9 7 < / C h a r t I D >  
             < I s L i n k e d > f a l s e < / I s L i n k e d >  
             < N u m b e r > 0 1 0 3 0 0 9 0 0 0 0 1 < / N u m b e r >  
             < N a m e > I N V E S T M E N T S   I N   T F C   F A C E   V A L U E   H F T < / N a m e >  
             < A J E > 0 < / A J E >  
             < A d j u s t > 5 1 4 6 5 5 < / A d j u s t >  
             < R J E > 0 < / R J E >  
             < P r e l i m i n a r y > 5 1 4 6 5 5 < / P r e l i m i n a r y >  
             < F i n a l > 5 1 4 6 5 5 < / F i n a l >  
         < / A c c o u n t S t o r a g e >  
         < A c c o u n t S t o r a g e >  
             < A c c o u n t B a l a n c e s >  
                 < A c c o u n t B a l a n c e >  
                     < F i e l d N a m e > P r i o r P e r i o d 1 B a l a n c e < / F i e l d N a m e >  
                     < B a l a n c e > 3 7 8 2 < / B a l a n c e >  
                 < / A c c o u n t B a l a n c e >  
                 < A c c o u n t B a l a n c e >  
                     < F i e l d N a m e > P r i o r P e r i o d 2 B a l a n c e < / F i e l d N a m e >  
                     < B a l a n c e > 1 2 5 8 < / B a l a n c e >  
                 < / A c c o u n t B a l a n c e >  
                 < A c c o u n t B a l a n c e >  
                     < F i e l d N a m e > P r i o r P e r i o d 3 B a l a n c e < / F i e l d N a m e >  
                     < B a l a n c e > 2 2 7 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 - 7 3 7 9 8 6 8 2 0 0 9 9 9 9 9 8 5 6 2 < / I D >  
             < T a r g e t A c c o u n t I D > - 7 3 7 9 8 6 8 2 0 0 9 9 9 9 9 8 6 7 3 < / T a r g e t A c c o u n t I D >  
             < C h a r t I D > - 7 3 7 9 8 6 8 2 0 0 9 9 9 9 9 8 6 9 7 < / C h a r t I D >  
             < I s L i n k e d > f a l s e < / I s L i n k e d >  
             < N u m b e r > 0 1 0 3 0 0 9 0 0 0 0 2 < / N u m b e r >  
             < N a m e > A P P R E C I A T I O N   /   D I M I N U T I O N   -   T F C   -   H F T < / N a m e >  
             < A J E > 0 < / A J E >  
             < A d j u s t > - 2 2 < / A d j u s t >  
             < R J E > 0 < / R J E >  
             < P r e l i m i n a r y > - 2 2 < / P r e l i m i n a r y >  
             < F i n a l > - 2 2 < / F i n a l >  
         < / A c c o u n t S t o r a g e >  
         < A c c o u n t S t o r a g e >  
             < A c c o u n t B a l a n c e s >  
                 < A c c o u n t B a l a n c e >  
                     < F i e l d N a m e > P r i o r P e r i o d 1 B a l a n c e < / F i e l d N a m e >  
                     < B a l a n c e > 3 7 8 < / B a l a n c e >  
                 < / A c c o u n t B a l a n c e >  
                 < A c c o u n t B a l a n c e >  
                     < F i e l d N a m e > P r i o r P e r i o d 2 B a l a n c e < / F i e l d N a m e >  
                     < B a l a n c e > - 2 0 8 3 < / B a l a n c e >  
                 < / A c c o u n t B a l a n c e >  
                 < A c c o u n t B a l a n c e >  
                     < F i e l d N a m e > P r i o r P e r i o d 3 B a l a n c e < / F i e l d N a m e >  
                     < B a l a n c e > - 7 2 7 2 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 - 7 3 7 9 8 6 8 2 0 0 9 9 9 9 9 8 5 6 1 < / I D >  
             < T a r g e t A c c o u n t I D > - 7 3 7 9 8 6 8 2 0 0 9 9 9 9 9 8 6 7 3 < / T a r g e t A c c o u n t I D >  
             < C h a r t I D > - 7 3 7 9 8 6 8 2 0 0 9 9 9 9 9 8 6 9 7 < / C h a r t I D >  
             < I s L i n k e d > f a l s e < / I s L i n k e d >  
             < N u m b e r > 0 1 0 3 0 0 9 0 0 0 0 3 < / N u m b e r >  
             < N a m e > P R E M I U M   /   D I S C O U N T   O N   T F C   -   H F T < / N a m e >  
             < A J E > 0 < / A J E >  
             < A d j u s t > - 3 3 4 7 < / A d j u s t >  
             < R J E > 0 < / R J E >  
             < P r e l i m i n a r y > - 3 3 4 7 < / P r e l i m i n a r y >  
             < F i n a l > - 3 3 4 7 < / F i n a l >  
         < / A c c o u n t S t o r a g e >  
         < A c c o u n t S t o r a g e >  
             < A c c o u n t B a l a n c e s >  
                 < A c c o u n t B a l a n c e >  
                     < F i e l d N a m e > P r i o r P e r i o d 1 B a l a n c e < / F i e l d N a m e >  
                     < B a l a n c e > 2 3 4 1 < / B a l a n c e >  
                 < / A c c o u n t B a l a n c e >  
                 < A c c o u n t B a l a n c e >  
                     < F i e l d N a m e > P r i o r P e r i o d 2 B a l a n c e < / F i e l d N a m e >  
                     < B a l a n c e > - 9 8 8 0 < / B a l a n c e >  
                 < / A c c o u n t B a l a n c e >  
                 < A c c o u n t B a l a n c e >  
                     < F i e l d N a m e > P r i o r P e r i o d 3 B a l a n c e < / F i e l d N a m e >  
                     < B a l a n c e > - 1 9 7 5 8 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 - 7 3 7 9 8 6 8 2 0 0 9 9 9 9 9 8 5 6 0 < / I D >  
             < T a r g e t A c c o u n t I D > - 7 3 7 9 8 6 8 2 0 0 9 9 9 9 9 8 6 7 3 < / T a r g e t A c c o u n t I D >  
             < C h a r t I D > - 7 3 7 9 8 6 8 2 0 0 9 9 9 9 9 8 6 9 7 < / C h a r t I D >  
             < I s L i n k e d > f a l s e < / I s L i n k e d >  
             < N u m b e r > 0 1 0 3 0 0 9 0 0 0 0 9 < / N u m b e r >  
             < N a m e > P r o v i s i o n   A g a i n s t   N o n   P e r f o r m i n g   S e c u r i t y     P a c e   P a k i s t a n   L i m i t e d   T f c     H f t < / N a m e >  
             < A J E > 0 < / A J E >  
             < A d j u s t > 2 3 4 1 < / A d j u s t >  
             < R J E > 0 < / R J E >  
             < P r e l i m i n a r y > 2 3 4 1 < / P r e l i m i n a r y >  
             < F i n a l > 2 3 4 1 < / F i n a l >  
         < / A c c o u n t S t o r a g e >  
         < A c c o u n t S t o r a g e >  
             < A c c o u n t B a l a n c e s >  
                 < A c c o u n t B a l a n c e >  
                     < F i e l d N a m e > P r i o r P e r i o d 1 B a l a n c e < / F i e l d N a m e >  
                     < B a l a n c e > 8 5 1 6 2 < / B a l a n c e >  
                 < / A c c o u n t B a l a n c e >  
                 < A c c o u n t B a l a n c e >  
                     < F i e l d N a m e > P r i o r P e r i o d 2 B a l a n c e < / F i e l d N a m e >  
                     < B a l a n c e > 7 0 1 8 6 < / B a l a n c e >  
                 < / A c c o u n t B a l a n c e >  
                 < A c c o u n t B a l a n c e >  
                     < F i e l d N a m e > P r i o r P e r i o d 3 B a l a n c e < / F i e l d N a m e >  
                     < B a l a n c e > 7 2 3 5 3 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 - 7 3 7 9 8 6 8 2 0 0 9 9 9 9 9 8 5 5 6 < / I D >  
             < T a r g e t A c c o u n t I D > - 7 3 7 9 8 6 8 2 0 0 9 9 9 9 9 8 6 7 3 < / T a r g e t A c c o u n t I D >  
             < C h a r t I D > - 7 3 7 9 8 6 8 2 0 0 9 9 9 9 9 8 6 9 7 < / C h a r t I D >  
             < I s L i n k e d > f a l s e < / I s L i n k e d >  
             < N u m b e r > 0 1 0 6 0 0 1 0 0 0 0 1 < / N u m b e r >  
             < N a m e > R E C E I V A B L E   A G A I N S T   R E D E M P T I O N   O F   D E B T   S E C U R I T I E S     P R I N C I P A L . < / N a m e >  
             < A J E > 0 < / A J E >  
             < A d j u s t > 8 5 1 6 2 < / A d j u s t >  
             < R J E > 0 < / R J E >  
             < P r e l i m i n a r y > 8 5 1 6 2 < / P r e l i m i n a r y >  
             < F i n a l > 8 5 1 6 2 < / F i n a l >  
         < / A c c o u n t S t o r a g e >  
         < A c c o u n t S t o r a g e >  
             < A c c o u n t B a l a n c e s >  
                 < A c c o u n t B a l a n c e >  
                     < F i e l d N a m e > P r i o r P e r i o d 1 B a l a n c e < / F i e l d N a m e >  
                     < B a l a n c e > - 7 4 9 1 0 < / B a l a n c e >  
                 < / A c c o u n t B a l a n c e >  
                 < A c c o u n t B a l a n c e >  
                     < F i e l d N a m e > P r i o r P e r i o d 2 B a l a n c e < / F i e l d N a m e >  
                     < B a l a n c e > - 5 9 9 3 4 < / B a l a n c e >  
                 < / A c c o u n t B a l a n c e >  
                 < A c c o u n t B a l a n c e >  
                     < F i e l d N a m e > P r i o r P e r i o d 3 B a l a n c e < / F i e l d N a m e >  
                     < B a l a n c e > - 4 4 9 5 8 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 - 7 3 7 9 8 6 8 2 0 0 9 9 9 9 9 8 4 7 7 < / I D >  
             < T a r g e t A c c o u n t I D > - 7 3 7 9 8 6 8 2 0 0 9 9 9 9 9 8 6 7 3 < / T a r g e t A c c o u n t I D >  
             < C h a r t I D > - 7 3 7 9 8 6 8 2 0 0 9 9 9 9 9 8 6 9 7 < / C h a r t I D >  
             < I s L i n k e d > f a l s e < / I s L i n k e d >  
             < N u m b e r > 0 1 0 6 0 0 3 0 0 0 0 6 < / N u m b e r >  
             < N a m e > P r o v i s i o n   A g a i n s t   R e d   O f   D e b t   S e c   -   P r i n c i p a l   ( P a c e   T f c ) < / N a m e >  
             < A J E > 0 < / A J E >  
             < A d j u s t > - 7 4 9 1 0 < / A d j u s t >  
             < R J E > 0 < / R J E >  
             < P r e l i m i n a r y > - 7 4 9 1 0 < / P r e l i m i n a r y >  
             < F i n a l > - 7 4 9 1 0 < / F i n a l >  
         < / A c c o u n t S t o r a g e >  
         < A c c o u n t S t o r a g e >  
             < A c c o u n t B a l a n c e s >  
                 < A c c o u n t B a l a n c e >  
                     < F i e l d N a m e > P r i o r P e r i o d 1 B a l a n c e < / F i e l d N a m e >  
                     < B a l a n c e > - 1 0 2 5 2 < / B a l a n c e >  
                 < / A c c o u n t B a l a n c e >  
                 < A c c o u n t B a l a n c e >  
                     < F i e l d N a m e > P r i o r P e r i o d 2 B a l a n c e < / F i e l d N a m e >  
                     < B a l a n c e > - 1 0 2 5 2 < / B a l a n c e >  
                 < / A c c o u n t B a l a n c e >  
                 < A c c o u n t B a l a n c e >  
                     < F i e l d N a m e > P r i o r P e r i o d 3 B a l a n c e < / F i e l d N a m e >  
                     < B a l a n c e > - 1 0 2 5 2 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 - 7 3 7 9 8 6 8 2 0 0 9 9 9 9 9 8 4 6 6 < / I D >  
             < T a r g e t A c c o u n t I D > - 7 3 7 9 8 6 8 2 0 0 9 9 9 9 9 8 6 7 3 < / T a r g e t A c c o u n t I D >  
             < C h a r t I D > - 7 3 7 9 8 6 8 2 0 0 9 9 9 9 9 8 6 9 7 < / C h a r t I D >  
             < I s L i n k e d > f a l s e < / I s L i n k e d >  
             < N u m b e r > 0 1 0 6 0 0 3 0 0 0 0 7 < / N u m b e r >  
             < N a m e > P r o v i s i o n   A g a i n s t   R e d   O f   D e b t   S e c   -   P r i n c i p a l   ( E d e n   S u k u k ) < / N a m e >  
             < A J E > 0 < / A J E >  
             < A d j u s t > - 1 0 2 5 2 < / A d j u s t >  
             < R J E > 0 < / R J E >  
             < P r e l i m i n a r y > - 1 0 2 5 2 < / P r e l i m i n a r y >  
             < F i n a l > - 1 0 2 5 2 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 - 1 7 1 4 3 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 - 7 3 7 9 8 6 8 2 0 0 9 9 9 9 9 8 4 6 5 < / I D >  
             < T a r g e t A c c o u n t I D > - 7 3 7 9 8 6 8 2 0 0 9 9 9 9 9 8 6 7 3 < / T a r g e t A c c o u n t I D >  
             < C h a r t I D > - 7 3 7 9 8 6 8 2 0 0 9 9 9 9 9 8 6 9 7 < / C h a r t I D >  
             < I s L i n k e d > f a l s e < / I s L i n k e d >  
             < N u m b e r > 0 1 0 6 0 0 3 0 0 0 0 8 < / N u m b e r >  
             < N a m e > P r o v i s i o n   A g a i n s t   R e d   O f   D e b t   S e c   -   P r i n c i p a l   ( P e l   S u k u k ) < / N a m e >  
             < A J E > 0 < / A J E >  
             < A d j u s t > 0 < / A d j u s t >  
             < R J E > 0 < / R J E >  
             < P r e l i m i n a r y > 0 < / P r e l i m i n a r y >  
             < F i n a l > 0 < / F i n a l >  
         < / A c c o u n t S t o r a g e >  
         < A c c o u n t S t o r a g e >  
             < A c c o u n t B a l a n c e s >  
                 < A c c o u n t B a l a n c e >  
                     < F i e l d N a m e > P r i o r P e r i o d 1 B a l a n c e < / F i e l d N a m e >  
                     < B a l a n c e > 7 5 0 0 0 < / B a l a n c e >  
                 < / A c c o u n t B a l a n c e >  
                 < A c c o u n t B a l a n c e >  
                     < F i e l d N a m e > P r i o r P e r i o d 2 B a l a n c e < / F i e l d N a m e >  
                     < B a l a n c e > 0 < / B a l a n c e >  
                 < / A c c o u n t B a l a n c e >  
                 < A c c o u n t B a l a n c e >  
                     < F i e l d N a m e > P r i o r P e r i o d 3 B a l a n c e < / F i e l d N a m e >  
                     < B a l a n c e > 1 2 5 0 0 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 - 7 3 7 9 8 6 8 2 0 0 9 9 9 9 9 8 5 6 9 < / I D >  
             < T a r g e t A c c o u n t I D > - 7 3 7 9 8 6 8 2 0 0 9 9 9 9 9 8 6 7 1 < / T a r g e t A c c o u n t I D >  
             < C h a r t I D > - 7 3 7 9 8 6 8 2 0 0 9 9 9 9 9 8 6 9 7 < / C h a r t I D >  
             < I s L i n k e d > f a l s e < / I s L i n k e d >  
             < N u m b e r > 0 1 0 3 0 0 3 0 0 0 0 1 < / N u m b e r >  
             < N a m e > I N V E S T M E N T   I N   T R E A S U R Y   B I L L S     F A C E   V A L U E     H F T < / N a m e >  
             < A J E > 0 < / A J E >  
             < A d j u s t > 2 5 0 0 0 < / A d j u s t >  
             < R J E > 0 < / R J E >  
             < P r e l i m i n a r y > 2 5 0 0 0 < / P r e l i m i n a r y >  
             < F i n a l > 2 5 0 0 0 < / 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 0 < / B a l a n c e >  
                 < / A c c o u n t B a l a n c e >  
                 < A c c o u n t B a l a n c e >  
                     < F i e l d N a m e > P r i o r P e r i o d 3 B a l a n c e < / F i e l d N a m e >  
                     < B a l a n c e > 6 3 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 - 7 3 7 9 8 6 8 2 0 0 9 9 9 9 9 8 5 6 8 < / I D >  
             < T a r g e t A c c o u n t I D > - 7 3 7 9 8 6 8 2 0 0 9 9 9 9 9 8 6 7 1 < / T a r g e t A c c o u n t I D >  
             < C h a r t I D > - 7 3 7 9 8 6 8 2 0 0 9 9 9 9 9 8 6 9 7 < / C h a r t I D >  
             < I s L i n k e d > f a l s e < / I s L i n k e d >  
             < N u m b e r > 0 1 0 3 0 0 3 0 0 0 0 2 < / N u m b e r >  
             < N a m e > T R E A S U R Y   B I L L S     A P P R E C I A T I O N   /   D I M I N U T I O N     H F T < / N a m e >  
             < A J E > 0 < / A J E >  
             < A d j u s t > 2 < / A d j u s t >  
             < R J E > 0 < / R J E >  
             < P r e l i m i n a r y > 2 < / P r e l i m i n a r y >  
             < F i n a l > 2 < / F i n a l >  
         < / A c c o u n t S t o r a g e >  
         < A c c o u n t S t o r a g e >  
             < A c c o u n t B a l a n c e s >  
                 < A c c o u n t B a l a n c e >  
                     < F i e l d N a m e > P r i o r P e r i o d 1 B a l a n c e < / F i e l d N a m e >  
                     < B a l a n c e > - 4 0 1 < / B a l a n c e >  
                 < / A c c o u n t B a l a n c e >  
                 < A c c o u n t B a l a n c e >  
                     < F i e l d N a m e > P r i o r P e r i o d 2 B a l a n c e < / F i e l d N a m e >  
                     < B a l a n c e > 0 < / B a l a n c e >  
                 < / A c c o u n t B a l a n c e >  
                 < A c c o u n t B a l a n c e >  
                     < F i e l d N a m e > P r i o r P e r i o d 3 B a l a n c e < / F i e l d N a m e >  
                     < B a l a n c e > - 6 2 3 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 - 7 3 7 9 8 6 8 2 0 0 9 9 9 9 9 8 5 6 7 < / I D >  
             < T a r g e t A c c o u n t I D > - 7 3 7 9 8 6 8 2 0 0 9 9 9 9 9 8 6 7 1 < / T a r g e t A c c o u n t I D >  
             < C h a r t I D > - 7 3 7 9 8 6 8 2 0 0 9 9 9 9 9 8 6 9 7 < / C h a r t I D >  
             < I s L i n k e d > f a l s e < / I s L i n k e d >  
             < N u m b e r > 0 1 0 3 0 0 3 0 0 0 0 3 < / N u m b e r >  
             < N a m e > T R E A S U R Y   B I L L S     D I S C O U N T   /   A M O R T I S A T I O N     H F T < / N a m e >  
             < A J E > 0 < / A J E >  
             < A d j u s t > - 2 7 4 < / A d j u s t >  
             < R J E > 0 < / R J E >  
             < P r e l i m i n a r y > - 2 7 4 < / P r e l i m i n a r y >  
             < F i n a l > - 2 7 4 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 5 0 0 0 0 < / B a l a n c e >  
                 < / A c c o u n t B a l a n c e >  
                 < A c c o u n t B a l a n c e >  
                     < F i e l d N a m e > P r i o r P e r i o d 3 B a l a n c e < / F i e l d N a m e >  
                     < B a l a n c e > 5 5 6 0 3 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 - 7 3 7 9 8 6 8 2 0 0 9 9 9 9 9 8 5 6 6 < / I D >  
             < T a r g e t A c c o u n t I D > - 7 3 7 9 8 6 8 2 0 0 9 9 9 9 9 8 6 7 1 < / T a r g e t A c c o u n t I D >  
             < C h a r t I D > - 7 3 7 9 8 6 8 2 0 0 9 9 9 9 9 8 6 9 7 < / C h a r t I D >  
             < I s L i n k e d > f a l s e < / I s L i n k e d >  
             < N u m b e r > 0 1 0 3 0 0 4 0 0 0 0 1 < / N u m b e r >  
             < N a m e > I N V E S T M E N T   I N   P I B     F A C E   V A L U E     H F T < / N a m e >  
             < A J E > 0 < / A J E >  
             < A d j u s t > 1 8 0 0 0 < / A d j u s t >  
             < R J E > 0 < / R J E >  
             < P r e l i m i n a r y > 1 8 0 0 0 < / P r e l i m i n a r y >  
             < F i n a l > 1 8 0 0 0 < / F i n a l >  
         < / A c c o u n t S t o r a g e >  
         < A c c o u n t S t o r a g e >  
             < A c c o u n t B a l a n c e s >  
                 < A c c o u n t B a l a n c e >  
                     < F i e l d N a m e > P r i o r P e r i o d 1 B a l a n c e < / F i e l d N a m e >  
                     < B a l a n c e > 2 5 7 < / B a l a n c e >  
                 < / A c c o u n t B a l a n c e >  
                 < A c c o u n t B a l a n c e >  
                     < F i e l d N a m e > P r i o r P e r i o d 2 B a l a n c e < / F i e l d N a m e >  
                     < B a l a n c e > 2 5 7 < / B a l a n c e >  
                 < / A c c o u n t B a l a n c e >  
                 < A c c o u n t B a l a n c e >  
                     < F i e l d N a m e > P r i o r P e r i o d 3 B a l a n c e < / F i e l d N a m e >  
                     < B a l a n c e > 6 4 1 9 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 - 7 3 7 9 8 6 8 2 0 0 9 9 9 9 9 8 5 6 5 < / I D >  
             < T a r g e t A c c o u n t I D > - 7 3 7 9 8 6 8 2 0 0 9 9 9 9 9 8 6 7 1 < / T a r g e t A c c o u n t I D >  
             < C h a r t I D > - 7 3 7 9 8 6 8 2 0 0 9 9 9 9 9 8 6 9 7 < / C h a r t I D >  
             < I s L i n k e d > f a l s e < / I s L i n k e d >  
             < N u m b e r > 0 1 0 3 0 0 4 0 0 0 0 2 < / N u m b e r >  
             < N a m e > P A K I S T A N   I N V E S T M E N T   B O N D S     A P P R E C I A T I O N   /   D I M I N U T I O N     H F T < / N a m e >  
             < A J E > 0 < / A J E >  
             < A d j u s t > 1 7 3 < / A d j u s t >  
             < R J E > 0 < / R J E >  
             < P r e l i m i n a r y > 1 7 3 < / P r e l i m i n a r y >  
             < F i n a l > 1 7 3 < / F i n a l >  
         < / A c c o u n t S t o r a g e >  
         < A c c o u n t S t o r a g e >  
             < A c c o u n t B a l a n c e s >  
                 < A c c o u n t B a l a n c e >  
                     < F i e l d N a m e > P r i o r P e r i o d 1 B a l a n c e < / F i e l d N a m e >  
                     < B a l a n c e > - 2 5 7 < / B a l a n c e >  
                 < / A c c o u n t B a l a n c e >  
                 < A c c o u n t B a l a n c e >  
                     < F i e l d N a m e > P r i o r P e r i o d 2 B a l a n c e < / F i e l d N a m e >  
                     < B a l a n c e > 7 1 7 2 < / B a l a n c e >  
                 < / A c c o u n t B a l a n c e >  
                 < A c c o u n t B a l a n c e >  
                     < F i e l d N a m e > P r i o r P e r i o d 3 B a l a n c e < / F i e l d N a m e >  
                     < B a l a n c e > - 6 1 2 3 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 - 7 3 7 9 8 6 8 2 0 0 9 9 9 9 9 8 5 6 4 < / I D >  
             < T a r g e t A c c o u n t I D > - 7 3 7 9 8 6 8 2 0 0 9 9 9 9 9 8 6 7 1 < / T a r g e t A c c o u n t I D >  
             < C h a r t I D > - 7 3 7 9 8 6 8 2 0 0 9 9 9 9 9 8 6 9 7 < / C h a r t I D >  
             < I s L i n k e d > f a l s e < / I s L i n k e d >  
             < N u m b e r > 0 1 0 3 0 0 4 0 0 0 0 3 < / N u m b e r >  
             < N a m e > P A K I S T A N   I N V E S T M E N T   B O N D S     D I S C O U N T   /   A M O R T I S A T I O N     H F T < / N a m e >  
             < A J E > 0 < / A J E >  
             < A d j u s t > 2 6 < / A d j u s t >  
             < R J E > 0 < / R J E >  
             < P r e l i m i n a r y > 2 6 < / P r e l i m i n a r y >  
             < F i n a l > 2 6 < / F i n a l >  
         < / A c c o u n t S t o r a g e >  
         < A c c o u n t S t o r a g e >  
             < A c c o u n t B a l a n c e s >  
                 < A c c o u n t B a l a n c e >  
                     < F i e l d N a m e > P r i o r P e r i o d 1 B a l a n c e < / F i e l d N a m e >  
                     < B a l a n c e > 1 8 8 0 0 < / B a l a n c e >  
                 < / A c c o u n t B a l a n c e >  
                 < A c c o u n t B a l a n c e >  
                     < F i e l d N a m e > P r i o r P e r i o d 2 B a l a n c e < / F i e l d N a m e >  
                     < B a l a n c e > 6 7 7 9 0 0 < / B a l a n c e >  
                 < / A c c o u n t B a l a n c e >  
                 < A c c o u n t B a l a n c e >  
                     < F i e l d N a m e > P r i o r P e r i o d 3 B a l a n c e < / F i e l d N a m e >  
                     < B a l a n c e > 4 4 1 5 9 7 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 - 7 3 7 9 8 6 8 2 0 0 9 9 9 9 9 8 5 5 9 < / I D >  
             < T a r g e t A c c o u n t I D > 2 2 9 9 7 6 8 4 7 4 9 0 0 0 1 5 8 2 3 < / T a r g e t A c c o u n t I D >  
             < C h a r t I D > - 7 3 7 9 8 6 8 2 0 0 9 9 9 9 9 8 6 9 7 < / C h a r t I D >  
             < I s L i n k e d > f a l s e < / I s L i n k e d >  
             < N u m b e r > 0 1 0 3 0 1 3 0 0 0 0 1 < / N u m b e r >  
             < N a m e > I N V E S T M E N T   I N   P A K I S T A N   I N V E S T M E N T   B O N D S     F A C E   V A L U E     A F S < / N a m e >  
             < A J E > 0 < / A J E >  
             < A d j u s t > 8 0 0 < / A d j u s t >  
             < R J E > 0 < / R J E >  
             < P r e l i m i n a r y > 8 0 0 < / P r e l i m i n a r y >  
             < F i n a l > 8 0 0 < / F i n a l >  
         < / A c c o u n t S t o r a g e >  
         < A c c o u n t S t o r a g e >  
             < A c c o u n t B a l a n c e s >  
                 < A c c o u n t B a l a n c e >  
                     < F i e l d N a m e > P r i o r P e r i o d 1 B a l a n c e < / F i e l d N a m e >  
                     < B a l a n c e > 3 6 0 < / B a l a n c e >  
                 < / A c c o u n t B a l a n c e >  
                 < A c c o u n t B a l a n c e >  
                     < F i e l d N a m e > P r i o r P e r i o d 2 B a l a n c e < / F i e l d N a m e >  
                     < B a l a n c e > 3 5 3 5 < / B a l a n c e >  
                 < / A c c o u n t B a l a n c e >  
                 < A c c o u n t B a l a n c e >  
                     < F i e l d N a m e > P r i o r P e r i o d 3 B a l a n c e < / F i e l d N a m e >  
                     < B a l a n c e > - 5 1 1 6 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 - 7 3 7 9 8 6 8 2 0 0 9 9 9 9 9 8 5 5 8 < / I D >  
             < T a r g e t A c c o u n t I D > 2 2 9 9 7 6 8 4 7 4 9 0 0 0 1 5 8 2 3 < / T a r g e t A c c o u n t I D >  
             < C h a r t I D > - 7 3 7 9 8 6 8 2 0 0 9 9 9 9 9 8 6 9 7 < / C h a r t I D >  
             < I s L i n k e d > f a l s e < / I s L i n k e d >  
             < N u m b e r > 0 1 0 3 0 1 3 0 0 0 0 2 < / N u m b e r >  
             < N a m e > P A K I S T A N   I N V E S T M E N T   B O N D S     A P P R E C I A T I O N   /   D I M I N U T I O N     A F S < / N a m e >  
             < A J E > 0 < / A J E >  
             < A d j u s t > - 1 < / A d j u s t >  
             < R J E > 0 < / R J E >  
             < P r e l i m i n a r y > - 1 < / P r e l i m i n a r y >  
             < F i n a l > - 1 < / F i n a l >  
         < / A c c o u n t S t o r a g e >  
         < A c c o u n t S t o r a g e >  
             < A c c o u n t B a l a n c e s >  
                 < A c c o u n t B a l a n c e >  
                     < F i e l d N a m e > P r i o r P e r i o d 1 B a l a n c e < / F i e l d N a m e >  
                     < B a l a n c e > 4 3 8 < / B a l a n c e >  
                 < / A c c o u n t B a l a n c e >  
                 < A c c o u n t B a l a n c e >  
                     < F i e l d N a m e > P r i o r P e r i o d 2 B a l a n c e < / F i e l d N a m e >  
                     < B a l a n c e > 5 4 7 7 3 < / B a l a n c e >  
                 < / A c c o u n t B a l a n c e >  
                 < A c c o u n t B a l a n c e >  
                     < F i e l d N a m e > P r i o r P e r i o d 3 B a l a n c e < / F i e l d N a m e >  
                     < B a l a n c e > 3 2 0 7 2 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 - 7 3 7 9 8 6 8 2 0 0 9 9 9 9 9 8 5 5 7 < / I D >  
             < T a r g e t A c c o u n t I D > 2 2 9 9 7 6 8 4 7 4 9 0 0 0 1 5 8 2 3 < / T a r g e t A c c o u n t I D >  
             < C h a r t I D > - 7 3 7 9 8 6 8 2 0 0 9 9 9 9 9 8 6 9 7 < / C h a r t I D >  
             < I s L i n k e d > f a l s e < / I s L i n k e d >  
             < N u m b e r > 0 1 0 3 0 1 3 0 0 0 0 3 < / N u m b e r >  
             < N a m e > P A K I S T A N   I N V E S T M E N T   B O N D S     D I S C O U N T   /   A M O R T I S A T I O N     A F S < / N a m e >  
             < A J E > 0 < / A J E >  
             < A d j u s t > 1 2 < / A d j u s t >  
             < R J E > 0 < / R J E >  
             < P r e l i m i n a r y > 1 2 < / P r e l i m i n a r y >  
             < F i n a l > 1 2 < / F i n a l >  
         < / A c c o u n t S t o r a g e >  
         < A c c o u n t S t o r a g e >  
             < A c c o u n t B a l a n c e s >  
                 < A c c o u n t B a l a n c e >  
                     < F i e l d N a m e > P r i o r P e r i o d 1 B a l a n c e < / F i e l d N a m e >  
                     < B a l a n c e > 5 < / 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 2 4 7 1 7 0 1 8 2 8 3 0 0 0 0 0 0 7 6 < / I D >  
             < T a r g e t A c c o u n t I D > - 7 3 7 9 8 6 8 2 0 0 9 9 9 9 9 8 5 8 2 < / T a r g e t A c c o u n t I D >  
             < C h a r t I D > - 7 3 7 9 8 6 8 2 0 0 9 9 9 9 9 8 6 9 7 < / C h a r t I D >  
             < I s L i n k e d > f a l s e < / I s L i n k e d >  
             < N u m b e r > 0 1 0 3 0 0 1 0 0 0 0 1 < / N u m b e r >  
             < N a m e > I N V E S T M E N T   I N   E Q U I T Y   T R A N S A C T I O N     H F T < / N a m e >  
             < A J E > 0 < / A J E >  
             < A d j u s t > 6 < / A d j u s t >  
             < R J E > 0 < / R J E >  
             < P r e l i m i n a r y > 6 < / P r e l i m i n a r y >  
             < F i n a l > 6 < / F i n a l >  
         < / A c c o u n t S t o r a g e >  
         < A c c o u n t S t o r a g e >  
             < A c c o u n t B a l a n c e s >  
                 < A c c o u n t B a l a n c e >  
                     < F i e l d N a m e > P r i o r P e r i o d 1 B a l a n c e < / F i e l d N a m e >  
                     < B a l a n c e > - 6 < / 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 2 4 7 1 7 0 1 8 2 8 3 0 0 0 0 0 0 7 7 < / I D >  
             < T a r g e t A c c o u n t I D > - 7 3 7 9 8 6 8 2 0 0 9 9 9 9 9 8 5 8 2 < / T a r g e t A c c o u n t I D >  
             < C h a r t I D > - 7 3 7 9 8 6 8 2 0 0 9 9 9 9 9 8 6 9 7 < / C h a r t I D >  
             < I s L i n k e d > f a l s e < / I s L i n k e d >  
             < N u m b e r > 0 1 0 3 0 0 1 0 0 0 0 2 < / N u m b e r >  
             < N a m e > E Q U I T Y   T R A N S A C T I O N     A P P R E C I A T I O N   /   D I M I N U T I O N     H F T < / N a m e >  
             < A J E > 0 < / A J E >  
             < A d j u s t > - 6 < / A d j u s t >  
             < R J E > 0 < / R J E >  
             < P r e l i m i n a r y > - 6 < / P r e l i m i n a r y >  
             < F i n a l > - 6 < / F i n a l >  
         < / A c c o u n t S t o r a g e >  
         < A c c o u n t S t o r a g e >  
             < A c c o u n t B a l a n c e s >  
                 < A c c o u n t B a l a n c e >  
                     < F i e l d N a m e > P r i o r P e r i o d 1 B a l a n c e < / F i e l d N a m e >  
                     < B a l a n c e > 1 9 5 2 4 6 < / 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 2 4 7 1 7 0 1 8 2 8 3 0 0 0 0 0 0 7 8 < / I D >  
             < T a r g e t A c c o u n t I D > 2 4 7 1 7 0 1 8 2 8 3 0 0 0 0 0 1 3 8 < / T a r g e t A c c o u n t I D >  
             < C h a r t I D > - 7 3 7 9 8 6 8 2 0 0 9 9 9 9 9 8 6 9 7 < / C h a r t I D >  
             < I s L i n k e d > f a l s e < / I s L i n k e d >  
             < N u m b e r > 0 1 0 3 0 0 7 0 0 0 0 1 < / N u m b e r >  
             < N a m e > I N V E S T M E N T   I N   C O M M E R C I A L   P A P E R     F A C E   V A L U E     H F T < / N a m e >  
             < A J E > 0 < / A J E >  
             < A d j u s t > 1 1 8 2 9 5 < / A d j u s t >  
             < R J E > 0 < / R J E >  
             < P r e l i m i n a r y > 1 1 8 2 9 5 < / P r e l i m i n a r y >  
             < F i n a l > 1 1 8 2 9 5 < / F i n a l >  
         < / A c c o u n t S t o r a g e >  
         < A c c o u n t S t o r a g e >  
             < A c c o u n t B a l a n c e s >  
                 < A c c o u n t B a l a n c e >  
                     < F i e l d N a m e > P r i o r P e r i o d 1 B a l a n c e < / F i e l d N a m e >  
                     < B a l a n c e > 2 0 0 0 0 0 < / B a l a n c e >  
                 < / A c c o u n t B a l a n c e >  
                 < A c c o u n t B a l a n c e >  
                     < F i e l d N a m e > P r i o r P e r i o d 2 B a l a n c e < / F i e l d N a m e >  
                     < B a l a n c e > 0 < / B a l a n c e >  
                 < / A c c o u n t B a l a n c e >  
                 < A c c o u n t B a l a n c e >  
                     < F i e l d N a m e > P r i o r P e r i o d 3 B a l a n c e < / F i e l d N a m e >  
                     < B a l a n c e > 1 5 0 0 0 0 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 - 7 3 7 9 8 6 8 2 0 0 9 9 9 9 9 8 4 7 8 < / I D >  
             < T a r g e t A c c o u n t I D > - 7 3 7 9 8 6 8 2 0 0 9 9 9 9 9 8 6 7 0 < / T a r g e t A c c o u n t I D >  
             < C h a r t I D > - 7 3 7 9 8 6 8 2 0 0 9 9 9 9 9 8 6 9 7 < / C h a r t I D >  
             < I s L i n k e d > f a l s e < / I s L i n k e d >  
             < N u m b e r > 0 1 0 3 0 2 4 0 0 0 0 1 < / N u m b e r >  
             < N a m e > I N V E S T M E N T   I N   T E R M   D E P O S I T   R E C E I P T S 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 2 4 7 7 8 1 8 0 9 3 5 0 0 0 0 0 0 9 3 < / I D >  
             < T a r g e t A c c o u n t I D > - 7 3 7 9 8 6 8 2 0 0 9 9 9 9 9 8 6 6 9 < / T a r g e t A c c o u n t I D >  
             < C h a r t I D > - 7 3 7 9 8 6 8 2 0 0 9 9 9 9 9 8 6 9 7 < / C h a r t I D >  
             < I s L i n k e d > f a l s e < / I s L i n k e d >  
             < N u m b e r > 0 1 0 3 0 2 9 0 0 0 0 1 < / N u m b e r >  
             < N a m e > F A I R   V A L U E   O F   D E R I V A T I V E   O F   F U T U R E   T R A N S A C T I O N < / N a m e >  
             < A J E > 0 < / A J E >  
             < A d j u s t > 0 < / A d j u s t >  
             < R J E > 0 < / R J E >  
             < P r e l i m i n a r y > 0 < / P r e l i m i n a r y >  
             < F i n a l > 0 < / F i n a l >  
         < / A c c o u n t S t o r a g e >  
         < A c c o u n t S t o r a g e >  
             < A c c o u n t B a l a n c e s >  
                 < A c c o u n t B a l a n c e >  
                     < F i e l d N a m e > P r i o r P e r i o d 1 B a l a n c e < / F i e l d N a m e >  
                     < B a l a n c e > 2 8 2 < / 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 2 4 7 1 7 0 1 8 2 8 3 0 0 0 0 0 0 8 7 < / I D >  
             < T a r g e t A c c o u n t I D > - 7 3 7 9 8 6 8 2 0 0 9 9 9 9 9 8 6 6 8 < / T a r g e t A c c o u n t I D >  
             < C h a r t I D > - 7 3 7 9 8 6 8 2 0 0 9 9 9 9 9 8 6 9 7 < / C h a r t I D >  
             < I s L i n k e d > f a l s e < / I s L i n k e d >  
             < N u m b e r > 0 1 0 6 0 2 1 0 0 0 0 1 < / N u m b e r >  
             < N a m e > D I V I D E N D   R E C E I V A B L E S     E Q U I T Y   I N V E S T M E N T S < / N a m e >  
             < A J E > 0 < / A J E >  
             < A d j u s t > 0 < / A d j u s t >  
             < R J E > 0 < / R J E >  
             < P r e l i m i n a r y > 0 < / P r e l i m i n a r y >  
             < F i n a l > 0 < / F i n a l >  
         < / A c c o u n t S t o r a g e >  
         < A c c o u n t S t o r a g e >  
             < A c c o u n t B a l a n c e s >  
                 < A c c o u n t B a l a n c e >  
                     < F i e l d N a m e > P r i o r P e r i o d 1 B a l a n c e < / F i e l d N a m e >  
                     < B a l a n c e > 3 7 3 < / 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 2 4 7 1 7 0 1 8 2 8 3 0 0 0 0 0 0 8 0 < / I D >  
             < T a r g e t A c c o u n t I D > 2 2 9 9 7 6 8 4 7 4 9 0 0 0 1 5 8 3 5 < / T a r g e t A c c o u n t I D >  
             < C h a r t I D > - 7 3 7 9 8 6 8 2 0 0 9 9 9 9 9 8 6 9 7 < / C h a r t I D >  
             < I s L i n k e d > f a l s e < / I s L i n k e d >  
             < N u m b e r > 0 1 0 6 0 1 1 0 0 0 0 1 < / N u m b e r >  
             < N a m e > P R O F I T   R E C E I V A B L E   -   A L L I E D   B A N K   L I M I T E D   -   F O R E I G N   E X C H A N G E   B R A N C H < / N a m e >  
             < A J E > 0 < / A J E >  
             < A d j u s t > 5 5 < / A d j u s t >  
             < R J E > 0 < / R J E >  
             < P r e l i m i n a r y > 5 5 < / P r e l i m i n a r y >  
             < F i n a l > 5 5 < / F i n a l >  
         < / A c c o u n t S t o r a g e >  
         < A c c o u n t S t o r a g e >  
             < A c c o u n t B a l a n c e s >  
                 < A c c o u n t B a l a n c e >  
                     < F i e l d N a m e > P r i o r P e r i o d 1 B a l a n c e < / F i e l d N a m e >  
                     < B a l a n c e > 8 9 < / B a l a n c e >  
                 < / A c c o u n t B a l a n c e >  
                 < A c c o u n t B a l a n c e >  
                     < F i e l d N a m e > P r i o r P e r i o d 2 B a l a n c e < / F i e l d N a m e >  
                     < B a l a n c e > 6 2 1 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 - 7 3 7 9 8 6 8 2 0 0 9 9 9 9 9 8 4 5 8 < / I D >  
             < T a r g e t A c c o u n t I D > 2 2 9 9 7 6 8 4 7 4 9 0 0 0 1 5 8 3 5 < / T a r g e t A c c o u n t I D >  
             < C h a r t I D > - 7 3 7 9 8 6 8 2 0 0 9 9 9 9 9 8 6 9 7 < / C h a r t I D >  
             < I s L i n k e d > f a l s e < / I s L i n k e d >  
             < N u m b e r > 0 1 0 6 0 1 1 0 0 0 0 5 < / N u m b e r >  
             < N a m e > P R O F I T   R E C E I V A B L E   -   B A N K   A L   F A L A H   L I M I T E D     -   K S E   B R A N C H < / N a m e >  
             < A J E > 0 < / A J E >  
             < A d j u s t > 4 < / A d j u s t >  
             < R J E > 0 < / R J E >  
             < P r e l i m i n a r y > 4 < / P r e l i m i n a r y >  
             < F i n a l > 4 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B a l a n c e >  
                 < / A c c o u n t B a l a n c e >  
                 < A c c o u n t B a l a n c e >  
                     < F i e l d N a m e > P r i o r P e r i o d 3 B a l a n c e < / F i e l d N a m e >  
                     < B a l a n c e > 4 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 - 7 3 7 9 8 6 8 2 0 0 9 9 9 9 9 8 4 8 3 < / I D >  
             < T a r g e t A c c o u n t I D > 2 2 9 9 7 6 8 4 7 4 9 0 0 0 1 5 8 3 5 < / T a r g e t A c c o u n t I D >  
             < C h a r t I D > - 7 3 7 9 8 6 8 2 0 0 9 9 9 9 9 8 6 9 7 < / C h a r t I D >  
             < I s L i n k e d > f a l s e < / I s L i n k e d >  
             < N u m b e r > 0 1 0 6 0 1 1 0 0 0 1 1 < / N u m b e r >  
             < N a m e > P R O F I T   R E C E I V A B L E   -   F A Y S A L   B A N K   L I M I T E D   -   G U L S H A N   E   I Q B A L   B R A N C H < / N a m e >  
             < A J E > 0 < / A J E >  
             < A d j u s t > 0 < / A d j u s t >  
             < R J E > 0 < / R J E >  
             < P r e l i m i n a r y > 0 < / P r e l i m i n a r y >  
             < F i n a l > 0 < / F i n a l >  
         < / A c c o u n t S t o r a g e >  
         < A c c o u n t S t o r a g e >  
             < A c c o u n t B a l a n c e s >  
                 < A c c o u n t B a l a n c e >  
                     < F i e l d N a m e > P r i o r P e r i o d 1 B a l a n c e < / F i e l d N a m e >  
                     < B a l a n c e > 4 8 < / B a l a n c e >  
                 < / A c c o u n t B a l a n c e >  
                 < A c c o u n t B a l a n c e >  
                     < F i e l d N a m e > P r i o r P e r i o d 2 B a l a n c e < / F i e l d N a m e >  
                     < B a l a n c e > 1 8 < / B a l a n c e >  
                 < / A c c o u n t B a l a n c e >  
                 < A c c o u n t B a l a n c e >  
                     < F i e l d N a m e > P r i o r P e r i o d 3 B a l a n c e < / F i e l d N a m e >  
                     < B a l a n c e > 2 1 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 - 7 3 7 9 8 6 8 2 0 0 9 9 9 9 9 8 5 5 3 < / I D >  
             < T a r g e t A c c o u n t I D > 2 2 9 9 7 6 8 4 7 4 9 0 0 0 1 5 8 3 5 < / T a r g e t A c c o u n t I D >  
             < C h a r t I D > - 7 3 7 9 8 6 8 2 0 0 9 9 9 9 9 8 6 9 7 < / C h a r t I D >  
             < I s L i n k e d > f a l s e < / I s L i n k e d >  
             < N u m b e r > 0 1 0 6 0 1 1 0 0 0 1 4 < / N u m b e r >  
             < N a m e > P R O F I T   R E C E I V A B L E   -   H A B I B   M E T R O P O L I T A N   B A N K   L I M I T E D   -   K A R A C H I   S T O C K   E X C H A N G E   B R A N C H < / N a m e >  
             < A J E > 0 < / A J E >  
             < A d j u s t > 2 5 < / A d j u s t >  
             < R J E > 0 < / R J E >  
             < P r e l i m i n a r y > 2 5 < / P r e l i m i n a r y >  
             < F i n a l > 2 5 < / F i n a l >  
         < / A c c o u n t S t o r a g e >  
         < A c c o u n t S t o r a g e >  
             < A c c o u n t B a l a n c e s >  
                 < A c c o u n t B a l a n c e >  
                     < F i e l d N a m e > P r i o r P e r i o d 1 B a l a n c e < / F i e l d N a m e >  
                     < B a l a n c e > 2 9 < / B a l a n c e >  
                 < / A c c o u n t B a l a n c e >  
                 < A c c o u n t B a l a n c e >  
                     < F i e l d N a m e > P r i o r P e r i o d 2 B a l a n c e < / F i e l d N a m e >  
                     < B a l a n c e > 1 9 < / B a l a n c e >  
                 < / A c c o u n t B a l a n c e >  
                 < A c c o u n t B a l a n c e >  
                     < F i e l d N a m e > P r i o r P e r i o d 3 B a l a n c e < / F i e l d N a m e >  
                     < B a l a n c e > 6 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 - 7 3 7 9 8 6 8 2 0 0 9 9 9 9 9 8 5 5 2 < / I D >  
             < T a r g e t A c c o u n t I D > 2 2 9 9 7 6 8 4 7 4 9 0 0 0 1 5 8 3 5 < / T a r g e t A c c o u n t I D >  
             < C h a r t I D > - 7 3 7 9 8 6 8 2 0 0 9 9 9 9 9 8 6 9 7 < / C h a r t I D >  
             < I s L i n k e d > f a l s e < / I s L i n k e d >  
             < N u m b e r > 0 1 0 6 0 1 1 0 0 0 1 5 < / N u m b e r >  
             < N a m e > P R O F I T   R E C E I V A B L E   -   H A B I B   M E T R O P O L I T A N   B A N K 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 1 6 9 < / B a l a n c e >  
                 < / A c c o u n t B a l a n c e >  
                 < A c c o u n t B a l a n c e >  
                     < F i e l d N a m e > P r i o r P e r i o d 3 B a l a n c e < / F i e l d N a m e >  
                     < B a l a n c e > 8 2 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 - 7 3 7 9 8 6 8 2 0 0 9 9 9 9 9 8 5 5 1 < / I D >  
             < T a r g e t A c c o u n t I D > 2 2 9 9 7 6 8 4 7 4 9 0 0 0 1 5 8 3 5 < / T a r g e t A c c o u n t I D >  
             < C h a r t I D > - 7 3 7 9 8 6 8 2 0 0 9 9 9 9 9 8 6 9 7 < / C h a r t I D >  
             < I s L i n k e d > f a l s e < / I s L i n k e d >  
             < N u m b e r > 0 1 0 6 0 1 1 0 0 0 1 7 < / N u m b e r >  
             < N a m e > P R O F I T   R E C E I V A B L E   -   M C B   B A N K   L I M I T E D   -   U N I   T O W E R 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 3 3 < / B a l a n c e >  
                 < / A c c o u n t B a l a n c e >  
                 < A c c o u n t B a l a n c e >  
                     < F i e l d N a m e > P r i o r P e r i o d 3 B a l a n c e < / F i e l d N a m e >  
                     < B a l a n c e > 4 0 2 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 - 7 3 7 9 8 6 8 2 0 0 9 9 9 9 9 8 5 5 0 < / I D >  
             < T a r g e t A c c o u n t I D > 2 2 9 9 7 6 8 4 7 4 9 0 0 0 1 5 8 3 5 < / T a r g e t A c c o u n t I D >  
             < C h a r t I D > - 7 3 7 9 8 6 8 2 0 0 9 9 9 9 9 8 6 9 7 < / C h a r t I D >  
             < I s L i n k e d > f a l s e < / I s L i n k e d >  
             < N u m b e r > 0 1 0 6 0 1 1 0 0 0 2 7 < / N u m b e r >  
             < N a m e > P R O F I T   R E C E I V A B L E   -   N I B   B A N K   L I M I T E D   -   C L O T H   M A R K E T 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 2 4 7 1 7 0 1 8 2 8 3 0 0 0 0 0 0 8 1 < / I D >  
             < T a r g e t A c c o u n t I D > 2 2 9 9 7 6 8 4 7 4 9 0 0 0 1 5 8 3 5 < / T a r g e t A c c o u n t I D >  
             < C h a r t I D > - 7 3 7 9 8 6 8 2 0 0 9 9 9 9 9 8 6 9 7 < / C h a r t I D >  
             < I s L i n k e d > f a l s e < / I s L i n k e d >  
             < N u m b e r > 0 1 0 6 0 1 1 0 0 0 7 2 < / N u m b e r >  
             < N a m e > P r o f i t   R e c e i v a b l e   -   Z a r a i   T a r a q i a t i   B a n k   L i m i t e d   -   S h a f i   C o u r t   B r a n c h < / N a m e >  
             < A J E > 0 < / A J E >  
             < A d j u s t > 0 < / A d j u s t >  
             < R J E > 0 < / R J E >  
             < P r e l i m i n a r y > 0 < / P r e l i m i n a r y >  
             < F i n a l > 0 < / F i n a l >  
         < / A c c o u n t S t o r a g e >  
         < A c c o u n t S t o r a g e >  
             < A c c o u n t B a l a n c e s >  
                 < A c c o u n t B a l a n c e >  
                     < F i e l d N a m e > P r i o r P e r i o d 1 B a l a n c e < / F i e l d N a m e >  
                     < B a l a n c e > 4 0 7 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 2 4 7 1 7 0 1 8 2 8 3 0 0 0 0 0 0 8 2 < / I D >  
             < T a r g e t A c c o u n t I D > 2 2 9 9 7 6 8 4 7 4 9 0 0 0 1 5 8 3 5 < / T a r g e t A c c o u n t I D >  
             < C h a r t I D > - 7 3 7 9 8 6 8 2 0 0 9 9 9 9 9 8 6 9 7 < / C h a r t I D >  
             < I s L i n k e d > f a l s e < / I s L i n k e d >  
             < N u m b e r > 0 1 0 6 0 1 1 0 0 0 7 7 < / N u m b e r >  
             < N a m e > P r o f i t   R e c e i v a b l e   -   N r s p 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 6 5 1 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 2 4 7 1 7 0 1 8 2 8 3 0 0 0 0 0 0 8 3 < / I D >  
             < T a r g e t A c c o u n t I D > 2 2 9 9 7 6 8 4 7 4 9 0 0 0 1 5 8 3 5 < / T a r g e t A c c o u n t I D >  
             < C h a r t I D > - 7 3 7 9 8 6 8 2 0 0 9 9 9 9 9 8 6 9 7 < / C h a r t I D >  
             < I s L i n k e d > f a l s e < / I s L i n k e d >  
             < N u m b e r > 0 1 0 6 0 1 1 0 0 0 7 9 < / N u m b e r >  
             < N a m e > P r o f i t   R e c e i v a b l e   -   U   M i c r o f i n a n c e   B a n k   L i m i t e d < / N a m e >  
             < A J E > 0 < / A J E >  
             < A d j u s t > 9 4 1 < / A d j u s t >  
             < R J E > 0 < / R J E >  
             < P r e l i m i n a r y > 9 4 1 < / P r e l i m i n a r y >  
             < F i n a l > 9 4 1 < / F i n a l >  
         < / A c c o u n t S t o r a g e >  
         < A c c o u n t S t o r a g e >  
             < A c c o u n t B a l a n c e s >  
                 < A c c o u n t B a l a n c e >  
                     < F i e l d N a m e > P r i o r P e r i o d 1 B a l a n c e < / F i e l d N a m e >  
                     < B a l a n c e > 2 2 < / 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 2 4 7 1 7 0 1 8 2 8 3 0 0 0 0 0 0 8 4 < / I D >  
             < T a r g e t A c c o u n t I D > 2 2 9 9 7 6 8 4 7 4 9 0 0 0 1 5 8 3 5 < / T a r g e t A c c o u n t I D >  
             < C h a r t I D > - 7 3 7 9 8 6 8 2 0 0 9 9 9 9 9 8 6 9 7 < / C h a r t I D >  
             < I s L i n k e d > f a l s e < / I s L i n k e d >  
             < N u m b e r > 0 1 0 6 0 1 1 0 0 0 8 0 < / N u m b e r >  
             < N a m e > P r o f i t   R e c e i v a b l e   -   K h u s h a l i 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 2 7 9 9 2 7 4 6 8 9 4 0 0 0 0 0 0 2 2 < / I D >  
             < T a r g e t A c c o u n t I D > 2 2 9 9 7 6 8 4 7 4 9 0 0 0 1 5 8 3 5 < / T a r g e t A c c o u n t I D >  
             < C h a r t I D > - 7 3 7 9 8 6 8 2 0 0 9 9 9 9 9 8 6 9 7 < / C h a r t I D >  
             < I s L i n k e d > f a l s e < / I s L i n k e d >  
             < N u m b e r > 0 1 0 6 0 1 1 0 0 0 8 2 < / N u m b e r >  
             < N a m e > P r o f i t   R e c e i v a b l e   -   T a m e e r   M i c r o f i n a n c e   B a n k < / 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 2 7 9 9 2 7 4 6 8 9 4 0 0 0 0 0 0 2 3 < / I D >  
             < T a r g e t A c c o u n t I D > 2 2 9 9 7 6 8 4 7 4 9 0 0 0 1 5 8 3 5 < / T a r g e t A c c o u n t I D >  
             < C h a r t I D > - 7 3 7 9 8 6 8 2 0 0 9 9 9 9 9 8 6 9 7 < / C h a r t I D >  
             < I s L i n k e d > f a l s e < / I s L i n k e d >  
             < N u m b e r > 0 1 0 6 0 1 1 0 0 0 9 2 < / N u m b e r >  
             < N a m e > P r o f i t   R e c e i v a b l e   -   F i r s t   M i c r o   F i n a n c e   B a n k   -   C l i f t o n   B r a n c h < / N a m e >  
             < A J E > 0 < / A J E >  
             < A d j u s t > 7 7 4 < / A d j u s t >  
             < R J E > 0 < / R J E >  
             < P r e l i m i n a r y > 7 7 4 < / P r e l i m i n a r y >  
             < F i n a l > 7 7 4 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 2 7 9 9 2 7 4 6 8 9 4 0 0 0 0 0 0 2 4 < / I D >  
             < T a r g e t A c c o u n t I D > 2 2 9 9 7 6 8 4 7 4 9 0 0 0 1 5 8 3 5 < / T a r g e t A c c o u n t I D >  
             < C h a r t I D > - 7 3 7 9 8 6 8 2 0 0 9 9 9 9 9 8 6 9 7 < / C h a r t I D >  
             < I s L i n k e d > f a l s e < / I s L i n k e d >  
             < N u m b e r > 0 1 0 6 0 1 1 0 0 0 9 8 < / N u m b e r >  
             < N a m e > P r o f i t   R e c e i v a b l e   -   S i l k   B a n k   L i m i t e d   -   M a i n   B r a n c h < / N a m e >  
             < A J E > 0 < / A J E >  
             < A d j u s t > 1 1 7 1 < / A d j u s t >  
             < R J E > 0 < / R J E >  
             < P r e l i m i n a r y > 1 1 7 1 < / P r e l i m i n a r y >  
             < F i n a l > 1 1 7 1 < / F i n a l >  
         < / A c c o u n t S t o r a g e >  
         < A c c o u n t S t o r a g e >  
             < A c c o u n t B a l a n c e s >  
                 < A c c o u n t B a l a n c e >  
                     < F i e l d N a m e > P r i o r P e r i o d 1 B a l a n c e < / F i e l d N a m e >  
                     < B a l a n c e > 2 9 4 6 < / 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 2 4 7 1 7 0 1 8 2 8 3 0 0 0 0 0 0 8 5 < / I D >  
             < T a r g e t A c c o u n t I D > 2 2 9 9 7 6 8 4 7 4 9 0 0 0 1 5 8 3 5 < / T a r g e t A c c o u n t I D >  
             < C h a r t I D > - 7 3 7 9 8 6 8 2 0 0 9 9 9 9 9 8 6 9 7 < / C h a r t I D >  
             < I s L i n k e d > f a l s e < / I s L i n k e d >  
             < N u m b e r > 0 1 0 6 0 1 1 0 0 7 5 < / N u m b e r >  
             < N a m e > P r o f i t   R e c e i v a b l e   -   J s   B a n k   L i m i t e d   -   O c e a n   T o w e r ,   C l i f t o n 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 - 7 3 7 9 8 6 8 2 0 0 9 9 9 9 9 8 4 4 2 < / I D >  
             < T a r g e t A c c o u n t I D > 2 2 9 9 7 6 8 4 7 4 9 0 0 0 1 5 8 3 5 < / T a r g e t A c c o u n t I D >  
             < C h a r t I D > - 7 3 7 9 8 6 8 2 0 0 9 9 9 9 9 8 6 9 7 < / C h a r t I D >  
             < I s L i n k e d > f a l s e < / I s L i n k e d >  
             < N u m b e r > 0 1 0 6 0 1 3 0 0 0 0 1 < / N u m b e r >  
             < N a m e > A C C R U E D   P R O F I T   O N   T E R M   F I N A N C E   C E R T I F I C A T E S     P R E   I P O < / N a m e >  
             < A J E > 0 < / A J E >  
             < A d j u s t > 3 2 2 < / A d j u s t >  
             < R J E > 0 < / R J E >  
             < P r e l i m i n a r y > 3 2 2 < / P r e l i m i n a r y >  
             < F i n a l > 3 2 2 < / F i n a l >  
         < / A c c o u n t S t o r a g e >  
         < A c c o u n t S t o r a g e >  
             < A c c o u n t B a l a n c e s >  
                 < A c c o u n t B a l a n c e >  
                     < F i e l d N a m e > P r i o r P e r i o d 1 B a l a n c e < / F i e l d N a m e >  
                     < B a l a n c e > 1 4 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 2 4 7 1 7 0 1 8 2 8 3 0 0 0 0 0 0 8 6 < / I D >  
             < T a r g e t A c c o u n t I D > 2 2 9 9 7 6 8 4 7 4 9 0 0 0 1 5 8 3 5 < / T a r g e t A c c o u n t I D >  
             < C h a r t I D > - 7 3 7 9 8 6 8 2 0 0 9 9 9 9 9 8 6 9 7 < / C h a r t I D >  
             < I s L i n k e d > f a l s e < / I s L i n k e d >  
             < N u m b e r > 0 1 0 6 0 1 5 0 0 0 0 1 < / N u m b e r >  
             < N a m e > A C C R U E D   P R O F I T   O N   S U K K U K     P R E   I P O < / N a m e >  
             < A J E > 0 < / A J E >  
             < A d j u s t > 0 < / A d j u s t >  
             < R J E > 0 < / R J E >  
             < P r e l i m i n a r y > 0 < / P r e l i m i n a r y >  
             < F i n a l > 0 < / F i n a l >  
         < / A c c o u n t S t o r a g e >  
         < A c c o u n t S t o r a g e >  
             < A c c o u n t B a l a n c e s >  
                 < A c c o u n t B a l a n c e >  
                     < F i e l d N a m e > P r i o r P e r i o d 1 B a l a n c e < / F i e l d N a m e >  
                     < B a l a n c e > 3 4 6 8 5 < / B a l a n c e >  
                 < / A c c o u n t B a l a n c e >  
                 < A c c o u n t B a l a n c e >  
                     < F i e l d N a m e > P r i o r P e r i o d 2 B a l a n c e < / F i e l d N a m e >  
                     < B a l a n c e > 3 3 7 5 8 < / B a l a n c e >  
                 < / A c c o u n t B a l a n c e >  
                 < A c c o u n t B a l a n c e >  
                     < F i e l d N a m e > P r i o r P e r i o d 3 B a l a n c e < / F i e l d N a m e >  
                     < B a l a n c e > 3 1 1 6 9 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 - 7 3 7 9 8 6 8 2 0 0 9 9 9 9 9 8 5 5 5 < / I D >  
             < T a r g e t A c c o u n t I D > 2 2 9 9 7 6 8 4 7 4 9 0 0 0 1 5 8 3 4 < / T a r g e t A c c o u n t I D >  
             < C h a r t I D > - 7 3 7 9 8 6 8 2 0 0 9 9 9 9 9 8 6 9 7 < / C h a r t I D >  
             < I s L i n k e d > f a l s e < / I s L i n k e d >  
             < N u m b e r > 0 1 0 6 0 0 2 0 0 0 0 1 < / N u m b e r >  
             < N a m e > R E C E I V A B L E   A G A I N S T   R E D E M P T I O N   O F   D E B T   S E C U R I T I E S     M A R K U P < / N a m e >  
             < A J E > 0 < / A J E >  
             < A d j u s t > 3 4 6 8 5 < / A d j u s t >  
             < R J E > 0 < / R J E >  
             < P r e l i m i n a r y > 3 4 6 8 5 < / P r e l i m i n a r y >  
             < F i n a l > 3 4 6 8 5 < / F i n a l >  
         < / A c c o u n t S t o r a g e >  
         < A c c o u n t S t o r a g e >  
             < A c c o u n t B a l a n c e s >  
                 < A c c o u n t B a l a n c e >  
                     < F i e l d N a m e > P r i o r P e r i o d 1 B a l a n c e < / F i e l d N a m e >  
                     < B a l a n c e > - 3 4 6 8 5 < / B a l a n c e >  
                 < / A c c o u n t B a l a n c e >  
                 < A c c o u n t B a l a n c e >  
                     < F i e l d N a m e > P r i o r P e r i o d 2 B a l a n c e < / F i e l d N a m e >  
                     < B a l a n c e > - 3 3 7 5 8 < / B a l a n c e >  
                 < / A c c o u n t B a l a n c e >  
                 < A c c o u n t B a l a n c e >  
                     < F i e l d N a m e > P r i o r P e r i o d 3 B a l a n c e < / F i e l d N a m e >  
                     < B a l a n c e > - 3 1 1 6 9 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 - 7 3 7 9 8 6 8 2 0 0 9 9 9 9 9 8 5 5 4 < / I D >  
             < T a r g e t A c c o u n t I D > 2 2 9 9 7 6 8 4 7 4 9 0 0 0 1 5 8 3 4 < / T a r g e t A c c o u n t I D >  
             < C h a r t I D > - 7 3 7 9 8 6 8 2 0 0 9 9 9 9 9 8 6 9 7 < / C h a r t I D >  
             < I s L i n k e d > f a l s e < / I s L i n k e d >  
             < N u m b e r > 0 1 0 6 0 0 4 0 0 0 0 1 < / N u m b e r >  
             < N a m e > P R O V I S I O N   A G A I N S T   R E D E M P T I O N   O F   D E B T   S E C U R I T I E S     M A R K U P < / N a m e >  
             < A J E > 0 < / A J E >  
             < A d j u s t > - 3 4 6 8 5 < / A d j u s t >  
             < R J E > 0 < / R J E >  
             < P r e l i m i n a r y > - 3 4 6 8 5 < / P r e l i m i n a r y >  
             < F i n a l > - 3 4 6 8 5 < / F i n a l >  
         < / A c c o u n t S t o r a g e >  
         < A c c o u n t S t o r a g e >  
             < A c c o u n t B a l a n c e s >  
                 < A c c o u n t B a l a n c e >  
                     < F i e l d N a m e > P r i o r P e r i o d 1 B a l a n c e < / F i e l d N a m e >  
                     < B a l a n c e > 2 2 9 0 < / B a l a n c e >  
                 < / A c c o u n t B a l a n c e >  
                 < A c c o u n t B a l a n c e >  
                     < F i e l d N a m e > P r i o r P e r i o d 2 B a l a n c e < / F i e l d N a m e >  
                     < B a l a n c e > 1 6 0 1 < / B a l a n c e >  
                 < / A c c o u n t B a l a n c e >  
                 < A c c o u n t B a l a n c e >  
                     < F i e l d N a m e > P r i o r P e r i o d 3 B a l a n c e < / F i e l d N a m e >  
                     < B a l a n c e > 9 4 4 1 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 - 7 3 7 9 8 6 8 2 0 0 9 9 9 9 9 8 5 4 9 < / I D >  
             < T a r g e t A c c o u n t I D > 2 2 9 9 7 6 8 4 7 4 9 0 0 0 1 5 8 3 4 < / T a r g e t A c c o u n t I D >  
             < C h a r t I D > - 7 3 7 9 8 6 8 2 0 0 9 9 9 9 9 8 6 9 7 < / C h a r t I D >  
             < I s L i n k e d > f a l s e < / I s L i n k e d >  
             < N u m b e r > 0 1 0 6 0 1 2 0 0 0 0 1 < / N u m b e r >  
             < N a m e > A C C R U E D   P R O F I T   O N   T F C < / N a m e >  
             < A J E > 0 < / A J E >  
             < A d j u s t > 9 1 7 2 < / A d j u s t >  
             < R J E > 0 < / R J E >  
             < P r e l i m i n a r y > 9 1 7 2 < / P r e l i m i n a r y >  
             < F i n a l > 9 1 7 2 < / F i n a l >  
         < / A c c o u n t S t o r a g e >  
         < A c c o u n t S t o r a g e >  
             < A c c o u n t B a l a n c e s >  
                 < A c c o u n t B a l a n c e >  
                     < F i e l d N a m e > P r i o r P e r i o d 1 B a l a n c e < / F i e l d N a m e >  
                     < B a l a n c e > 4 8 4 3 < / B a l a n c e >  
                 < / A c c o u n t B a l a n c e >  
                 < A c c o u n t B a l a n c e >  
                     < F i e l d N a m e > P r i o r P e r i o d 2 B a l a n c e < / F i e l d N a m e >  
                     < B a l a n c e > 5 3 1 6 < / B a l a n c e >  
                 < / A c c o u n t B a l a n c e >  
                 < A c c o u n t B a l a n c e >  
                     < F i e l d N a m e > P r i o r P e r i o d 3 B a l a n c e < / F i e l d N a m e >  
                     < B a l a n c e > - 6 1 5 4 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 - 7 3 7 9 8 6 8 2 0 0 9 9 9 9 9 8 4 8 2 < / I D >  
             < T a r g e t A c c o u n t I D > 2 2 9 9 7 6 8 4 7 4 9 0 0 0 1 5 8 3 4 < / T a r g e t A c c o u n t I D >  
             < C h a r t I D > - 7 3 7 9 8 6 8 2 0 0 9 9 9 9 9 8 6 9 7 < / C h a r t I D >  
             < I s L i n k e d > f a l s e < / I s L i n k e d >  
             < N u m b e r > 0 1 0 6 0 1 2 0 0 0 0 2 < / N u m b e r >  
             < N a m e > A C C R U E D   P R O F I T   O N   T F C < / N a m e >  
             < A J E > 0 < / A J E >  
             < A d j u s t > 0 < / A d j u s t >  
             < R J E > 0 < / R J E >  
             < P r e l i m i n a r y > 0 < / P r e l i m i n a r y >  
             < F i n a l > 0 < / F i n a l >  
         < / A c c o u n t S t o r a g e >  
         < A c c o u n t S t o r a g e >  
             < A c c o u n t B a l a n c e s >  
                 < A c c o u n t B a l a n c e >  
                     < F i e l d N a m e > P r i o r P e r i o d 1 B a l a n c e < / F i e l d N a m e >  
                     < B a l a n c e > 7 5 6 < / B a l a n c e >  
                 < / A c c o u n t B a l a n c e >  
                 < A c c o u n t B a l a n c e >  
                     < F i e l d N a m e > P r i o r P e r i o d 2 B a l a n c e < / F i e l d N a m e >  
                     < B a l a n c e > 2 2 9 9 2 < / B a l a n c e >  
                 < / A c c o u n t B a l a n c e >  
                 < A c c o u n t B a l a n c e >  
                     < F i e l d N a m e > P r i o r P e r i o d 3 B a l a n c e < / F i e l d N a m e >  
                     < B a l a n c e > 1 9 0 1 9 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 - 7 3 7 9 8 6 8 2 0 0 9 9 9 9 9 8 5 4 8 < / I D >  
             < T a r g e t A c c o u n t I D > 2 2 9 9 7 6 8 4 7 4 9 0 0 0 1 5 8 3 3 < / T a r g e t A c c o u n t I D >  
             < C h a r t I D > - 7 3 7 9 8 6 8 2 0 0 9 9 9 9 9 8 6 9 7 < / C h a r t I D >  
             < I s L i n k e d > f a l s e < / I s L i n k e d >  
             < N u m b e r > 0 1 0 6 0 1 6 0 0 0 0 1 < / N u m b e r >  
             < N a m e > A C C R U E D   P R O F I T   O N   G O V T   S E C T Y     P I B < / N a m e >  
             < A J E > 0 < / A J E >  
             < A d j u s t > 7 5 6 < / A d j u s t >  
             < R J E > 0 < / R J E >  
             < P r e l i m i n a r y > 7 5 6 < / P r e l i m i n a r y >  
             < F i n a l > 7 5 6 < / F i n a l >  
         < / A c c o u n t S t o r a g e >  
         < A c c o u n t S t o r a g e >  
             < A c c o u n t B a l a n c e s >  
                 < A c c o u n t B a l a n c e >  
                     < F i e l d N a m e > P r i o r P e r i o d 1 B a l a n c e < / F i e l d N a m e >  
                     < B a l a n c e > 1 1 0 4 < / B a l a n c e >  
                 < / A c c o u n t B a l a n c e >  
                 < A c c o u n t B a l a n c e >  
                     < F i e l d N a m e > P r i o r P e r i o d 2 B a l a n c e < / F i e l d N a m e >  
                     < B a l a n c e > 0 < / B a l a n c e >  
                 < / A c c o u n t B a l a n c e >  
                 < A c c o u n t B a l a n c e >  
                     < F i e l d N a m e > P r i o r P e r i o d 3 B a l a n c e < / F i e l d N a m e >  
                     < B a l a n c e > 1 9 3 3 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 - 7 3 7 9 8 6 8 2 0 0 9 9 9 9 9 8 4 7 6 < / I D >  
             < T a r g e t A c c o u n t I D > 2 2 9 9 7 6 8 4 7 4 9 0 0 0 1 5 8 3 2 < / T a r g e t A c c o u n t I D >  
             < C h a r t I D > - 7 3 7 9 8 6 8 2 0 0 9 9 9 9 9 8 6 9 7 < / C h a r t I D >  
             < I s L i n k e d > f a l s e < / I s L i n k e d >  
             < N u m b e r > 0 1 0 6 0 0 5 0 0 0 0 1 < / N u m b e r >  
             < N a m e > P R O F I T   O N   T E R M   D E P O S I T S   R E C E I P T < / N a m e >  
             < A J E > 0 < / A J E >  
             < A d j u s t > 0 < / A d j u s t >  
             < R J E > 0 < / R J E >  
             < P r e l i m i n a r y > 0 < / P r e l i m i n a r y >  
             < F i n a l > 0 < / F i n a l >  
         < / A c c o u n t S t o r a g e >  
         < A c c o u n t S t o r a g e >  
             < A c c o u n t B a l a n c e s >  
                 < A c c o u n t B a l a n c e >  
                     < F i e l d N a m e > P r i o r P e r i o d 1 B a l a n c e < / F i e l d N a m e >  
                     < B a l a n c e > 9 < / 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 2 4 7 1 7 0 1 8 2 8 3 0 0 0 0 0 0 9 3 < / I D >  
             < T a r g e t A c c o u n t I D > 2 4 7 1 7 0 1 8 2 8 3 0 0 0 0 0 1 3 2 < / T a r g e t A c c o u n t I D >  
             < C h a r t I D > - 7 3 7 9 8 6 8 2 0 0 9 9 9 9 9 8 6 9 7 < / C h a r t I D >  
             < I s L i n k e d > f a l s e < / I s L i n k e d >  
             < N u m b e r > 0 1 1 1 0 0 9 0 0 0 9 < / N u m b e r >  
             < N a m e > R e c i e v a b l e   O f   I n c o m e   A g a i n s t   M t s < / N a m e >  
             < A J E > 0 < / A J E >  
             < A d j u s t > 0 < / A d j u s t >  
             < R J E > 0 < / R J E >  
             < P r e l i m i n a r y > 0 < / P r e l i m i n a r y >  
             < F i n a l > 0 < / F i n a l >  
         < / A c c o u n t S t o r a g e >  
         < A c c o u n t S t o r a g e >  
             < A c c o u n t B a l a n c e s >  
                 < A c c o u n t B a l a n c e >  
                     < F i e l d N a m e > P r i o r P e r i o d 1 B a l a n c e < / F i e l d N a m e >  
                     < B a l a n c e > 1 0 0 0 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 - 7 3 7 9 8 6 8 2 0 0 9 9 9 9 9 8 4 4 1 < / I D >  
             < T a r g e t A c c o u n t I D > - 7 3 7 9 8 6 8 2 0 0 9 9 9 9 9 8 6 6 7 < / T a r g e t A c c o u n t I D >  
             < C h a r t I D > - 7 3 7 9 8 6 8 2 0 0 9 9 9 9 9 8 6 9 7 < / C h a r t I D >  
             < I s L i n k e d > f a l s e < / I s L i n k e d >  
             < N u m b e r > 0 1 0 7 0 0 2 0 0 0 0 1 < / N u m b e r >  
             < N a m e > A D V A N C E S   A G A I N S T   I P O   S U B S C R I P T I O N   D E B T   S E C U R I T Y < / N a m e >  
             < A J E > 0 < / A J E >  
             < A d j u s t > 2 2 0 0 0 < / A d j u s t >  
             < R J E > 0 < / R J E >  
             < P r e l i m i n a r y > 2 2 0 0 0 < / P r e l i m i n a r y >  
             < F i n a l > 2 2 0 0 0 < / F i n a l >  
         < / A c c o u n t S t o r a g e >  
         < A c c o u n t S t o r a g e >  
             < A c c o u n t B a l a n c e s >  
                 < A c c o u n t B a l a n c e >  
                     < F i e l d N a m e > P r i o r P e r i o d 1 B a l a n c e < / F i e l d N a m e >  
                     < B a l a n c e > 1 5 2 < / B a l a n c e >  
                 < / A c c o u n t B a l a n c e >  
                 < A c c o u n t B a l a n c e >  
                     < F i e l d N a m e > P r i o r P e r i o d 2 B a l a n c e < / F i e l d N a m e >  
                     < B a l a n c e > 1 3 9 < / B a l a n c e >  
                 < / A c c o u n t B a l a n c e >  
                 < A c c o u n t B a l a n c e >  
                     < F i e l d N a m e > P r i o r P e r i o d 3 B a l a n c e < / F i e l d N a m e >  
                     < B a l a n c e > 1 2 9 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 - 7 3 7 9 8 6 8 2 0 0 9 9 9 9 9 8 5 4 5 < / I D >  
             < T a r g e t A c c o u n t I D > - 7 3 7 9 8 6 8 2 0 0 9 9 9 9 9 8 6 6 7 < / T a r g e t A c c o u n t I D >  
             < C h a r t I D > - 7 3 7 9 8 6 8 2 0 0 9 9 9 9 9 8 6 9 7 < / C h a r t I D >  
             < I s L i n k e d > f a l s e < / I s L i n k e d >  
             < N u m b e r > 0 1 0 7 0 0 7 0 0 0 0 5 < / N u m b e r >  
             < N a m e > P R E P A Y M E N T   O F   P A C R A   A G A I N S T   A N N U A L   P A C R A   R A T I N G   F E E < / N a m e >  
             < A J E > 0 < / A J E >  
             < A d j u s t > - 1 4 9 < / A d j u s t >  
             < R J E > 0 < / R J E >  
             < P r e l i m i n a r y > - 1 4 9 < / P r e l i m i n a r y >  
             < F i n a l > - 1 4 9 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 - 7 3 7 9 8 6 8 2 0 0 9 9 9 9 9 8 4 5 5 < / I D >  
             < T a r g e t A c c o u n t I D > - 7 3 7 9 8 6 8 2 0 0 9 9 9 9 9 8 6 6 7 < / T a r g e t A c c o u n t I D >  
             < C h a r t I D > - 7 3 7 9 8 6 8 2 0 0 9 9 9 9 9 8 6 9 7 < / C h a r t I D >  
             < I s L i n k e d > f a l s e < / I s L i n k e d >  
             < N u m b e r > 0 1 0 7 0 0 7 0 0 0 0 7 < / N u m b e r >  
             < N a m e > P r e p a y m e n t   O f   I s e 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 2 7 9 9 2 7 4 6 8 9 4 0 0 0 0 1 2 6 3 < / I D >  
             < T a r g e t A c c o u n t I D > - 7 3 7 9 8 6 8 2 0 0 9 9 9 9 9 8 6 6 7 < / T a r g e t A c c o u n t I D >  
             < C h a r t I D > - 7 3 7 9 8 6 8 2 0 0 9 9 9 9 9 8 6 9 7 < / C h a r t I D >  
             < I s L i n k e d > f a l s e < / I s L i n k e d >  
             < N u m b e r > 0 1 1 5 0 0 1 0 0 0 0 1 < / N u m b e r >  
             < N a m e > O t h e r   R e c e i v a b l e   A g a i n s t   C o l l e c t i o n   A c c o u n t   - M c b < / 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 2 7 9 9 2 7 4 6 8 9 4 0 0 0 0 0 0 2 5 < / I D >  
             < T a r g e t A c c o u n t I D > - 7 3 7 9 8 6 8 2 0 0 9 9 9 9 9 8 6 6 7 < / T a r g e t A c c o u n t I D >  
             < C h a r t I D > - 7 3 7 9 8 6 8 2 0 0 9 9 9 9 9 8 6 9 7 < / C h a r t I D >  
             < I s L i n k e d > f a l s e < / I s L i n k e d >  
             < N u m b e r > 0 1 1 5 0 0 1 0 0 0 0 2 < / N u m b e r >  
             < N a m e > O t h e r   R e c e i v a b l e   A g a i n s t   C o l l e c t i o n   A c c o u n t -   F a y s a l   B a n k < / N a m e >  
             < A J E > 0 < / A J E >  
             < A d j u s t > 0 < / A d j u s t >  
             < R J E > 0 < / R J E >  
             < P r e l i m i n a r y > 0 < / P r e l i m i n a r y >  
             < F i n a l > 0 < / F i n a l >  
         < / A c c o u n t S t o r a g e >  
         < A c c o u n t S t o r a g e >  
             < A c c o u n t B a l a n c e s >  
                 < A c c o u n t B a l a n c e >  
                     < F i e l d N a m e > P r i o r P e r i o d 1 B a l a n c e < / F i e l d N a m e >  
                     < B a l a n c e > 1 4 2 < / B a l a n c e >  
                 < / A c c o u n t B a l a n c e >  
                 < A c c o u n t B a l a n c e >  
                     < F i e l d N a m e > P r i o r P e r i o d 2 B a l a n c e < / F i e l d N a m e >  
                     < B a l a n c e > 5 7 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 - 7 3 7 9 8 6 8 2 0 0 9 9 9 9 9 8 4 5 7 < / I D >  
             < T a r g e t A c c o u n t I D > - 7 3 7 9 8 6 8 2 0 0 9 9 9 9 9 8 5 8 1 < / T a r g e t A c c o u n t I D >  
             < C h a r t I D > - 7 3 7 9 8 6 8 2 0 0 9 9 9 9 9 8 6 9 7 < / C h a r t I D >  
             < I s L i n k e d > f a l s e < / I s L i n k e d >  
             < N u m b e r > 0 1 0 7 0 0 3 0 0 0 0 1 < / N u m b e r >  
             < N a m e > A D V A N C E S   A G A I N S T   T A X   D E D U C T E D   A G A I N S T   B A N K   P R O F I T < / N a m e >  
             < A J E > 0 < / A J E >  
             < A d j u s t > 2 1 1 < / A d j u s t >  
             < R J E > 0 < / R J E >  
             < P r e l i m i n a r y > 2 1 1 < / P r e l i m i n a r y >  
             < F i n a l > 2 1 1 < / F i n a l >  
         < / A c c o u n t S t o r a g e >  
         < A c c o u n t S t o r a g e >  
             < A c c o u n t B a l a n c e s >  
                 < A c c o u n t B a l a n c e >  
                     < F i e l d N a m e > P r i o r P e r i o d 1 B a l a n c e < / F i e l d N a m e >  
                     < B a l a n c e > 2 1 < / B a l a n c e >  
                 < / A c c o u n t B a l a n c e >  
                 < A c c o u n t B a l a n c e >  
                     < F i e l d N a m e > P r i o r P e r i o d 2 B a l a n c e < / F i e l d N a m e >  
                     < B a l a n c e > 1 1 1 < / B a l a n c e >  
                 < / A c c o u n t B a l a n c e >  
                 < A c c o u n t B a l a n c e >  
                     < F i e l d N a m e > P r i o r P e r i o d 3 B a l a n c e < / F i e l d N a m e >  
                     < B a l a n c e > 2 5 6 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 - 7 3 7 9 8 6 8 2 0 0 9 9 9 9 9 8 4 6 9 < / I D >  
             < T a r g e t A c c o u n t I D > - 7 3 7 9 8 6 8 2 0 0 9 9 9 9 9 8 5 8 1 < / T a r g e t A c c o u n t I D >  
             < C h a r t I D > - 7 3 7 9 8 6 8 2 0 0 9 9 9 9 9 8 6 9 7 < / C h a r t I D >  
             < I s L i n k e d > f a l s e < / I s L i n k e d >  
             < N u m b e r > 0 1 0 7 0 0 4 0 0 0 0 2 < / N u m b e r >  
             < N a m e > A d v a n c e s   A g a i n s t   T a x   D e d u c t e d   A g a i n s t   D e b t   S e c u r i t y < / N a m e >  
             < A J E > 0 < / A J E >  
             < A d j u s t > 2 1 < / A d j u s t >  
             < R J E > 0 < / R J E >  
             < P r e l i m i n a r y > 2 1 < / P r e l i m i n a r y >  
             < F i n a l > 2 1 < / F i n a l >  
         < / A c c o u n t S t o r a g e >  
         < A c c o u n t S t o r a g e >  
             < A c c o u n t B a l a n c e s >  
                 < A c c o u n t B a l a n c e >  
                     < F i e l d N a m e > P r i o r P e r i o d 1 B a l a n c e < / F i e l d N a m e >  
                     < B a l a n c e > 5 0 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 2 4 7 1 7 0 1 8 2 8 3 0 0 0 0 0 0 9 2 < / I D >  
             < T a r g e t A c c o u n t I D > - 7 3 7 9 8 6 8 2 0 0 9 9 9 9 9 8 5 8 1 < / T a r g e t A c c o u n t I D >  
             < C h a r t I D > - 7 3 7 9 8 6 8 2 0 0 9 9 9 9 9 8 6 9 7 < / C h a r t I D >  
             < I s L i n k e d > f a l s e < / I s L i n k e d >  
             < N u m b e r > 0 1 0 7 0 1 1 0 0 0 9 < / N u m b e r >  
             < N a m e > A d v a n c e   T a x   D e d u c t e d   O n   M t s   I n c o m e < / N a m e >  
             < A J E > 0 < / A J E >  
             < A d j u s t > 5 0 < / A d j u s t >  
             < R J E > 0 < / R J E >  
             < P r e l i m i n a r y > 5 0 < / P r e l i m i n a r y >  
             < F i n a l > 5 0 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 5 2 < / B a l a n c e >  
                 < / A c c o u n t B a l a n c e >  
                 < A c c o u n t B a l a n c e >  
                     < F i e l d N a m e > P r i o r P e r i o d 3 B a l a n c e < / F i e l d N a m e >  
                     < B a l a n c e > 5 2 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 - 7 3 7 9 8 6 8 2 0 0 9 9 9 9 9 8 5 4 7 < / I D >  
             < T a r g e t A c c o u n t I D > - 7 3 7 9 8 6 8 2 0 0 9 9 9 9 9 8 5 8 0 < / T a r g e t A c c o u n t I D >  
             < C h a r t I D > - 7 3 7 9 8 6 8 2 0 0 9 9 9 9 9 8 6 9 7 < / C h a r t I D >  
             < I s L i n k e d > f a l s e < / I s L i n k e d >  
             < N u m b e r > 0 1 0 7 0 0 5 0 0 0 0 1 < / N u m b e r >  
             < N a m e > S E C U R I T Y   D E P O S I T S   N C C P L   A G A I N S T   K A T S < / N a m e >  
             < A J E > 0 < / A J E >  
             < A d j u s t > 0 < / A d j u s t >  
             < R J E > 0 < / R J E >  
             < P r e l i m i n a r y > 0 < / P r e l i m i n a r y >  
             < F i n a l > 0 < / F i n a l >  
         < / A c c o u n t S t o r a g e >  
         < A c c o u n t S t o r a g e >  
             < A c c o u n t B a l a n c e s >  
                 < A c c o u n t B a l a n c e >  
                     < F i e l d N a m e > P r i o r P e r i o d 1 B a l a n c e < / F i e l d N a m e >  
                     < B a l a n c e > 2 5 0 0 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 2 4 7 1 7 0 1 8 2 8 3 0 0 0 0 0 0 9 0 < / I D >  
             < T a r g e t A c c o u n t I D > - 7 3 7 9 8 6 8 2 0 0 9 9 9 9 9 8 5 8 0 < / T a r g e t A c c o u n t I D >  
             < C h a r t I D > - 7 3 7 9 8 6 8 2 0 0 9 9 9 9 9 8 6 9 7 < / C h a r t I D >  
             < I s L i n k e d > f a l s e < / I s L i n k e d >  
             < N u m b e r > 0 1 0 7 0 0 5 0 0 0 0 3 < / N u m b e r >  
             < N a m e > S E C U R I T Y   D E P O S I T S   N C C P L   A G A I N S T   M T S < / N a m e >  
             < A J E > 0 < / A J E >  
             < A d j u s t > 2 5 0 0 < / A d j u s t >  
             < R J E > 0 < / R J E >  
             < P r e l i m i n a r y > 2 5 0 0 < / P r e l i m i n a r y >  
             < F i n a l > 2 5 0 0 < / F i n a l >  
         < / A c c o u n t S t o r a g e >  
         < A c c o u n t S t o r a g e >  
             < A c c o u n t B a l a n c e s >  
                 < A c c o u n t B a l a n c e >  
                     < F i e l d N a m e > P r i o r P e r i o d 1 B a l a n c e < / F i e l d N a m e >  
                     < B a l a n c e > 2 0 0 < / B a l a n c e >  
                 < / A c c o u n t B a l a n c e >  
                 < A c c o u n t B a l a n c e >  
                     < F i e l d N a m e > P r i o r P e r i o d 2 B a l a n c e < / F i e l d N a m e >  
                     < B a l a n c e > 2 0 0 < / B a l a n c e >  
                 < / A c c o u n t B a l a n c e >  
                 < A c c o u n t B a l a n c e >  
                     < F i e l d N a m e > P r i o r P e r i o d 3 B a l a n c e < / F i e l d N a m e >  
                     < B a l a n c e > 2 0 0 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 - 7 3 7 9 8 6 8 2 0 0 9 9 9 9 9 8 5 4 6 < / I D >  
             < T a r g e t A c c o u n t I D > - 7 3 7 9 8 6 8 2 0 0 9 9 9 9 9 8 5 7 9 < / T a r g e t A c c o u n t I D >  
             < C h a r t I D > - 7 3 7 9 8 6 8 2 0 0 9 9 9 9 9 8 6 9 7 < / C h a r t I D >  
             < I s L i n k e d > f a l s e < / I s L i n k e d >  
             < N u m b e r > 0 1 0 7 0 0 6 0 0 0 0 1 < / N u m b e r >  
             < N a m e > S E C U R I T Y   D E P O S I T S     C D C < / N a m e >  
             < A J E > 0 < / A J E >  
             < A d j u s t > 2 0 0 < / A d j u s t >  
             < R J E > 0 < / R J E >  
             < P r e l i m i n a r y > 2 0 0 < / P r e l i m i n a r y >  
             < F i n a l > 2 0 0 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 2 4 7 1 7 0 1 8 2 8 3 0 0 0 0 0 0 9 1 < / I D >  
             < T a r g e t A c c o u n t I D > 2 4 7 1 7 0 1 8 2 8 3 0 0 0 0 0 1 3 5 < / T a r g e t A c c o u n t I D >  
             < C h a r t I D > - 7 3 7 9 8 6 8 2 0 0 9 9 9 9 9 8 6 9 7 < / C h a r t I D >  
             < I s L i n k e d > f a l s e < / I s L i n k e d >  
             < N u m b e r > 0 1 0 7 0 0 7 0 0 0 0 1 < / N u m b e r >  
             < N a m e > P R E P A Y M E N T   O F   N C C P L   A G A I N S T   M A R G I N   T R A D I N G   S Y S T E M < / N a m e >  
             < A J E > 0 < / A J E >  
             < A d j u s t > 7 2 < / A d j u s t >  
             < R J E > 0 < / R J E >  
             < P r e l i m i n a r y > 7 2 < / P r e l i m i n a r y >  
             < F i n a l > 7 2 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 - 7 3 7 9 8 6 8 2 0 0 9 9 9 9 9 8 4 3 9 < / I D >  
             < T a r g e t A c c o u n t I D > - 7 3 7 9 8 6 8 2 0 0 9 9 9 9 9 8 5 7 7 < / T a r g e t A c c o u n t I D >  
             < C h a r t I D > - 7 3 7 9 8 6 8 2 0 0 9 9 9 9 9 8 6 9 7 < / C h a r t I D >  
             < I s L i n k e d > f a l s e < / I s L i n k e d >  
             < N u m b e r > 0 1 0 7 0 0 7 0 0 0 0 9 < / N u m b e r >  
             < N a m e > P r e p a y m e n t   O f   P s x 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 3 3 0 2 1 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 2 4 7 1 7 0 1 8 2 8 3 0 0 0 0 0 0 8 8 < / I D >  
             < T a r g e t A c c o u n t I D > 2 2 9 9 7 6 8 4 7 4 9 0 0 0 1 5 8 4 3 < / T a r g e t A c c o u n t I D >  
             < C h a r t I D > - 7 3 7 9 8 6 8 2 0 0 9 9 9 9 9 8 6 9 7 < / C h a r t I D >  
             < I s L i n k e d > f a l s e < / I s L i n k e d >  
             < N u m b e r > 0 1 0 6 0 2 2 0 0 0 0 1 < / N u m b e r >  
             < N a m e > R E C E I V A B L E   F R O M   N C C P L   A M O U N T   D E P O S I T E D   A G A I N S T   E X P O S U R E   M A R G I N < / N a m e >  
             < A J E > 0 < / A J E >  
             < A d j u s t > 2 2 9 6 3 < / A d j u s t >  
             < R J E > 0 < / R J E >  
             < P r e l i m i n a r y > 2 2 9 6 3 < / P r e l i m i n a r y >  
             < F i n a l > 2 2 9 6 3 < / F i n a l >  
         < / A c c o u n t S t o r a g e >  
         < A c c o u n t S t o r a g e >  
             < A c c o u n t B a l a n c e s >  
                 < A c c o u n t B a l a n c e >  
                     < F i e l d N a m e > P r i o r P e r i o d 1 B a l a n c e < / F i e l d N a m e >  
                     < B a l a n c e > 1 5 0 0 0 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 2 4 7 1 7 0 1 8 2 8 3 0 0 0 0 0 0 8 9 < / I D >  
             < T a r g e t A c c o u n t I D > 2 2 9 9 7 6 8 4 7 4 9 0 0 0 1 5 8 4 3 < / T a r g e t A c c o u n t I D >  
             < C h a r t I D > - 7 3 7 9 8 6 8 2 0 0 9 9 9 9 9 8 6 9 7 < / C h a r t I D >  
             < I s L i n k e d > f a l s e < / I s L i n k e d >  
             < N u m b e r > 0 1 0 6 0 2 2 0 0 0 0 2 < / N u m b e r >  
             < N a m e > R e c e i v a b l e   F r o m   N c c p l   A m o u n t   D e p o s i t e d   A g a i n s t   E x p o s u r e   M a r g i n   O N   M t s < / N a m e >  
             < A J E > 0 < / A J E >  
             < A d j u s t > 0 < / A d j u s t >  
             < R J E > 0 < / R J E >  
             < P r e l i m i n a r y > 0 < / P r e l i m i n a r y >  
             < F i n a l > 0 < / F i n a l >  
         < / A c c o u n t S t o r a g e >  
         < A c c o u n t S t o r a g e >  
             < A c c o u n t B a l a n c e s >  
                 < A c c o u n t B a l a n c e >  
                     < F i e l d N a m e > P r i o r P e r i o d 1 B a l a n c e < / F i e l d N a m e >  
                     < B a l a n c e > - 1 6 5 1 < / B a l a n c e >  
                 < / A c c o u n t B a l a n c e >  
                 < A c c o u n t B a l a n c e >  
                     < F i e l d N a m e > P r i o r P e r i o d 2 B a l a n c e < / F i e l d N a m e >  
                     < B a l a n c e > - 4 7 3 1 < / B a l a n c e >  
                 < / A c c o u n t B a l a n c e >  
                 < A c c o u n t B a l a n c e >  
                     < F i e l d N a m e > P r i o r P e r i o d 3 B a l a n c e < / F i e l d N a m e >  
                     < B a l a n c e > - 1 6 9 0 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 - 7 3 7 9 8 6 8 2 0 0 9 9 9 9 9 8 5 3 5 < / I D >  
             < T a r g e t A c c o u n t I D > - 7 3 7 9 8 6 8 2 0 0 9 9 9 9 9 8 6 6 6 < / T a r g e t A c c o u n t I D >  
             < C h a r t I D > - 7 3 7 9 8 6 8 2 0 0 9 9 9 9 9 8 6 9 7 < / C h a r t I D >  
             < I s L i n k e d > f a l s e < / I s L i n k e d >  
             < N u m b e r > 0 3 0 1 0 0 1 0 0 0 0 1 < / N u m b e r >  
             < N a m e > M A N A G E M E N T   F E E   P A Y A B L E < / N a m e >  
             < A J E > 0 < / A J E >  
             < A d j u s t > - 1 1 7 0 < / A d j u s t >  
             < R J E > 0 < / R J E >  
             < P r e l i m i n a r y > - 1 1 7 0 < / P r e l i m i n a r y >  
             < F i n a l > - 1 1 7 0 < / F i n a l >  
         < / A c c o u n t S t o r a g e >  
         < A c c o u n t S t o r a g e >  
             < A c c o u n t B a l a n c e s >  
                 < A c c o u n t B a l a n c e >  
                     < F i e l d N a m e > P r i o r P e r i o d 1 B a l a n c e < / F i e l d N a m e >  
                     < B a l a n c e > - 8 7 < / B a l a n c e >  
                 < / A c c o u n t B a l a n c e >  
                 < A c c o u n t B a l a n c e >  
                     < F i e l d N a m e > P r i o r P e r i o d 2 B a l a n c e < / F i e l d N a m e >  
                     < B a l a n c e > - 1 3 3 0 < / B a l a n c e >  
                 < / A c c o u n t B a l a n c e >  
                 < A c c o u n t B a l a n c e >  
                     < F i e l d N a m e > P r i o r P e r i o d 3 B a l a n c e < / F i e l d N a m e >  
                     < B a l a n c e > - 1 1 9 4 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 - 7 3 7 9 8 6 8 2 0 0 9 9 9 9 9 8 5 3 4 < / I D >  
             < T a r g e t A c c o u n t I D > - 7 3 7 9 8 6 8 2 0 0 9 9 9 9 9 8 6 6 6 < / T a r g e t A c c o u n t I D >  
             < C h a r t I D > - 7 3 7 9 8 6 8 2 0 0 9 9 9 9 9 8 6 9 7 < / C h a r t I D >  
             < I s L i n k e d > f a l s e < / I s L i n k e d >  
             < N u m b e r > 0 3 0 1 0 0 2 0 0 0 0 1 < / N u m b e r >  
             < N a m e > S A L E   L O A D   P A Y A B L E < / N a m e >  
             < A J E > 0 < / A J E >  
             < A d j u s t > - 2 2 1 < / A d j u s t >  
             < R J E > 0 < / R J E >  
             < P r e l i m i n a r y > - 2 2 1 < / P r e l i m i n a r y >  
             < F i n a l > - 2 2 1 < / F i n a l >  
         < / A c c o u n t S t o r a g e >  
         < A c c o u n t S t o r a g e >  
             < A c c o u n t B a l a n c e s >  
                 < A c c o u n t B a l a n c e >  
                     < F i e l d N a m e > P r i o r P e r i o d 1 B a l a n c e < / F i e l d N a m e >  
                     < B a l a n c e > - 2 1 5 < / B a l a n c e >  
                 < / A c c o u n t B a l a n c e >  
                 < A c c o u n t B a l a n c e >  
                     < F i e l d N a m e > P r i o r P e r i o d 2 B a l a n c e < / F i e l d N a m e >  
                     < B a l a n c e > - 6 6 2 < / B a l a n c e >  
                 < / A c c o u n t B a l a n c e >  
                 < A c c o u n t B a l a n c e >  
                     < F i e l d N a m e > P r i o r P e r i o d 3 B a l a n c e < / F i e l d N a m e >  
                     < B a l a n c e > - 2 3 2 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 - 7 3 7 9 8 6 8 2 0 0 9 9 9 9 9 8 5 3 3 < / I D >  
             < T a r g e t A c c o u n t I D > - 7 3 7 9 8 6 8 2 0 0 9 9 9 9 9 8 6 6 6 < / T a r g e t A c c o u n t I D >  
             < C h a r t I D > - 7 3 7 9 8 6 8 2 0 0 9 9 9 9 9 8 6 9 7 < / C h a r t I D >  
             < I s L i n k e d > f a l s e < / I s L i n k e d >  
             < N u m b e r > 0 3 0 1 0 0 6 0 0 0 0 1 < / N u m b e r >  
             < N a m e > S A L E S   T A X   P A Y A B L E   A G A I N S T   M A N A G E M E N T   F E E < / N a m e >  
             < A J E > 0 < / A J E >  
             < A d j u s t > - 1 5 2 < / A d j u s t >  
             < R J E > 0 < / R J E >  
             < P r e l i m i n a r y > - 1 5 2 < / P r e l i m i n a r y >  
             < F i n a l > - 1 5 2 < / F i n a l >  
         < / A c c o u n t S t o r a g e >  
         < A c c o u n t S t o r a g e >  
             < A c c o u n t B a l a n c e s >  
                 < A c c o u n t B a l a n c e >  
                     < F i e l d N a m e > P r i o r P e r i o d 1 B a l a n c e < / F i e l d N a m e >  
                     < B a l a n c e > - 8 0 0 < / B a l a n c e >  
                 < / A c c o u n t B a l a n c e >  
                 < A c c o u n t B a l a n c e >  
                     < F i e l d N a m e > P r i o r P e r i o d 2 B a l a n c e < / F i e l d N a m e >  
                     < B a l a n c e > - 3 1 5 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 - 7 3 7 9 8 6 8 2 0 0 9 9 9 9 9 8 4 5 2 < / I D >  
             < T a r g e t A c c o u n t I D > - 7 3 7 9 8 6 8 2 0 0 9 9 9 9 9 8 6 6 6 < / T a r g e t A c c o u n t I D >  
             < C h a r t I D > - 7 3 7 9 8 6 8 2 0 0 9 9 9 9 9 8 6 9 7 < / C h a r t I D >  
             < I s L i n k e d > f a l s e < / I s L i n k e d >  
             < N u m b e r > 0 3 1 2 0 0 1 0 0 0 0 1 < / N u m b e r >  
             < N a m e > B a c k   O f f i c e   O p e r a t i o n   P a y a b l e < / N a m e >  
             < A J E > 0 < / A J E >  
             < A d j u s t > - 9 9 2 < / A d j u s t >  
             < R J E > 0 < / R J E >  
             < P r e l i m i n a r y > - 9 9 2 < / P r e l i m i n a r y >  
             < F i n a l > - 9 9 2 < / F i n a l >  
         < / A c c o u n t S t o r a g e >  
         < A c c o u n t S t o r a g e >  
             < A c c o u n t B a l a n c e s >  
                 < A c c o u n t B a l a n c e >  
                     < F i e l d N a m e > P r i o r P e r i o d 1 B a l a n c e < / F i e l d N a m e >  
                     < B a l a n c e > - 2 7 < / B a l a n c e >  
                 < / A c c o u n t B a l a n c e >  
                 < A c c o u n t B a l a n c e >  
                     < F i e l d N a m e > P r i o r P e r i o d 2 B a l a n c e < / F i e l d N a m e >  
                     < B a l a n c e > - 4 7 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 - 7 3 7 9 8 6 8 2 0 0 9 9 9 9 9 8 4 5 4 < / I D >  
             < T a r g e t A c c o u n t I D > - 7 3 7 9 8 6 8 2 0 0 9 9 9 9 9 8 6 6 5 < / T a r g e t A c c o u n t I D >  
             < C h a r t I D > - 7 3 7 9 8 6 8 2 0 0 9 9 9 9 9 8 6 9 7 < / C h a r t I D >  
             < I s L i n k e d > f a l s e < / I s L i n k e d >  
             < N u m b e r > 0 3 0 1 0 0 8 0 0 0 0 1 < / N u m b e r >  
             < N a m e > S a l e s   T a x   P a y a b l e   O n   T r u s t e e   F e e < / N a m e >  
             < A J E > 0 < / A J E >  
             < A d j u s t > - 2 2 < / A d j u s t >  
             < R J E > 0 < / R J E >  
             < P r e l i m i n a r y > - 2 2 < / P r e l i m i n a r y >  
             < F i n a l > - 2 2 < / F i n a l >  
         < / A c c o u n t S t o r a g e >  
         < A c c o u n t S t o r a g e >  
             < A c c o u n t B a l a n c e s >  
                 < A c c o u n t B a l a n c e >  
                     < F i e l d N a m e > P r i o r P e r i o d 1 B a l a n c e < / F i e l d N a m e >  
                     < B a l a n c e > - 2 0 8 < / B a l a n c e >  
                 < / A c c o u n t B a l a n c e >  
                 < A c c o u n t B a l a n c e >  
                     < F i e l d N a m e > P r i o r P e r i o d 2 B a l a n c e < / F i e l d N a m e >  
                     < B a l a n c e > - 3 3 8 < / B a l a n c e >  
                 < / A c c o u n t B a l a n c e >  
                 < A c c o u n t B a l a n c e >  
                     < F i e l d N a m e > P r i o r P e r i o d 3 B a l a n c e < / F i e l d N a m e >  
                     < B a l a n c e > - 1 5 6 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 - 7 3 7 9 8 6 8 2 0 0 9 9 9 9 9 8 5 3 1 < / I D >  
             < T a r g e t A c c o u n t I D > - 7 3 7 9 8 6 8 2 0 0 9 9 9 9 9 8 6 6 5 < / T a r g e t A c c o u n t I D >  
             < C h a r t I D > - 7 3 7 9 8 6 8 2 0 0 9 9 9 9 9 8 6 9 7 < / C h a r t I D >  
             < I s L i n k e d > f a l s e < / I s L i n k e d >  
             < N u m b e r > 0 3 0 2 0 0 1 0 0 0 0 1 < / N u m b e r >  
             < N a m e > T R U S T E E   R E M U N E R A T I O N   P A Y A B L E < / N a m e >  
             < A J E > 0 < / A J E >  
             < A d j u s t > - 1 6 8 < / A d j u s t >  
             < R J E > 0 < / R J E >  
             < P r e l i m i n a r y > - 1 6 8 < / P r e l i m i n a r y >  
             < F i n a l > - 1 6 8 < / F i n a l >  
         < / A c c o u n t S t o r a g e >  
         < A c c o u n t S t o r a g e >  
             < A c c o u n t B a l a n c e s >  
                 < A c c o u n t B a l a n c e >  
                     < F i e l d N a m e > P r i o r P e r i o d 1 B a l a n c e < / F i e l d N a m e >  
                     < B a l a n c e > - 1 8 2 6 < / B a l a n c e >  
                 < / A c c o u n t B a l a n c e >  
                 < A c c o u n t B a l a n c e >  
                     < F i e l d N a m e > P r i o r P e r i o d 2 B a l a n c e < / F i e l d N a m e >  
                     < B a l a n c e > - 2 4 2 5 < / B a l a n c e >  
                 < / A c c o u n t B a l a n c e >  
                 < A c c o u n t B a l a n c e >  
                     < F i e l d N a m e > P r i o r P e r i o d 3 B a l a n c e < / F i e l d N a m e >  
                     < B a l a n c e > - 1 1 8 7 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 - 7 3 7 9 8 6 8 2 0 0 9 9 9 9 9 8 5 3 0 < / I D >  
             < T a r g e t A c c o u n t I D > - 7 3 7 9 8 6 8 2 0 0 9 9 9 9 9 8 6 6 4 < / T a r g e t A c c o u n t I D >  
             < C h a r t I D > - 7 3 7 9 8 6 8 2 0 0 9 9 9 9 9 8 6 9 7 < / C h a r t I D >  
             < I s L i n k e d > f a l s e < / I s L i n k e d >  
             < N u m b e r > 0 3 0 4 0 0 1 0 0 0 0 1 < / N u m b e r >  
             < N a m e > P A Y A B L E   T O   S E C P     A N N U A L   F E E < / N a m e >  
             < A J E > 0 < / A J E >  
             < A d j u s t > - 1 3 7 8 < / A d j u s t >  
             < R J E > 0 < / R J E >  
             < P r e l i m i n a r y > - 1 3 7 8 < / P r e l i m i n a r y >  
             < F i n a l > - 1 3 7 8 < / F i n a l >  
         < / A c c o u n t S t o r a g e >  
         < A c c o u n t S t o r a g e >  
             < A c c o u n t B a l a n c e s >  
                 < A c c o u n t B a l a n c e >  
                     < F i e l d N a m e > P r i o r P e r i o d 1 B a l a n c e < / F i e l d N a m e >  
                     < B a l a n c e > - 2 0 7 9 < / B a l a n c e >  
                 < / A c c o u n t B a l a n c e >  
                 < A c c o u n t B a l a n c e >  
                     < F i e l d N a m e > P r i o r P e r i o d 2 B a l a n c e < / F i e l d N a m e >  
                     < B a l a n c e > - 3 1 0 8 < / B a l a n c e >  
                 < / A c c o u n t B a l a n c e >  
                 < A c c o u n t B a l a n c e >  
                     < F i e l d N a m e > P r i o r P e r i o d 3 B a l a n c e < / F i e l d N a m e >  
                     < B a l a n c e > - 4 5 8 9 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 - 7 3 7 9 8 6 8 2 0 0 9 9 9 9 9 8 5 2 9 < / I D >  
             < T a r g e t A c c o u n t I D > - 7 3 7 9 8 6 8 2 0 0 9 9 9 9 9 8 6 6 3 < / T a r g e t A c c o u n t I D >  
             < C h a r t I D > - 7 3 7 9 8 6 8 2 0 0 9 9 9 9 9 8 6 9 7 < / C h a r t I D >  
             < I s L i n k e d > f a l s e < / I s L i n k e d >  
             < N u m b e r > 0 3 0 7 0 0 1 0 0 0 0 1 < / N u m b e r >  
             < N a m e > P A Y A B L E   A G A I N S T   R E D E M P T I O N   O F   U N I T S < / N a m e >  
             < A J E > 0 < / A J E >  
             < A d j u s t > - 2 0 7 9 < / A d j u s t >  
             < R J E > 0 < / R J E >  
             < P r e l i m i n a r y > - 2 0 7 9 < / P r e l i m i n a r y >  
             < F i n a l > - 2 0 7 9 < / F i n a l >  
         < / A c c o u n t S t o r a g e >  
         < A c c o u n t S t o r a g e >  
             < A c c o u n t B a l a n c e s >  
                 < A c c o u n t B a l a n c e >  
                     < F i e l d N a m e > P r i o r P e r i o d 1 B a l a n c e < / F i e l d N a m e >  
                     < B a l a n c e > - 3 9 2 9 9 < / 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 2 4 7 1 7 0 1 8 2 8 3 0 0 0 0 0 0 9 4 < / I D >  
             < T a r g e t A c c o u n t I D > 2 4 7 1 7 0 1 8 2 8 3 0 0 0 0 0 1 3 1 < / T a r g e t A c c o u n t I D >  
             < C h a r t I D > - 7 3 7 9 8 6 8 2 0 0 9 9 9 9 9 8 6 9 7 < / C h a r t I D >  
             < I s L i n k e d > f a l s e < / I s L i n k e d >  
             < N u m b e r > 0 3 0 5 0 0 1 0 0 0 0 1 < / N u m b e r >  
             < N a m e > P A Y A B L E   A G A I N S T   P U R C H A S E   O F   E Q U I T Y   S E C U R I T I E S 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 - 7 3 7 9 8 6 8 2 0 0 9 9 9 9 9 8 4 5 6 < / I D >  
             < T a r g e t A c c o u n t I D > - 7 3 7 9 8 6 8 2 0 0 9 9 9 9 9 8 6 6 1 < / T a r g e t A c c o u n t I D >  
             < C h a r t I D > - 7 3 7 9 8 6 8 2 0 0 9 9 9 9 9 8 6 9 7 < / C h a r t I D >  
             < I s L i n k e d > f a l s e < / I s L i n k e d >  
             < N u m b e r > 0 1 0 7 0 0 7 0 0 0 0 3 < / N u m b e r >  
             < N a m e > P R E P A Y M E N T   O F   L S E 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 - 1 6 5 9 0 < / B a l a n c e >  
                 < / A c c o u n t B a l a n c e >  
                 < A c c o u n t B a l a n c e >  
                     < F i e l d N a m e > P r i o r P e r i o d 2 B a l a n c e < / F i e l d N a m e >  
                     < B a l a n c e > - 1 6 5 9 0 < / B a l a n c e >  
                 < / A c c o u n t B a l a n c e >  
                 < A c c o u n t B a l a n c e >  
                     < F i e l d N a m e > P r i o r P e r i o d 3 B a l a n c e < / F i e l d N a m e >  
                     < B a l a n c e > - 7 7 5 5 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 - 7 3 7 9 8 6 8 2 0 0 9 9 9 9 9 8 5 3 2 < / I D >  
             < T a r g e t A c c o u n t I D > - 7 3 7 9 8 6 8 2 0 0 9 9 9 9 9 8 6 6 1 < / T a r g e t A c c o u n t I D >  
             < C h a r t I D > - 7 3 7 9 8 6 8 2 0 0 9 9 9 9 9 8 6 9 7 < / C h a r t I D >  
             < I s L i n k e d > f a l s e < / I s L i n k e d >  
             < N u m b e r > 0 3 0 1 0 0 7 0 0 0 0 1 < / N u m b e r >  
             < N a m e > F E D   T A X   P A Y A B L E   A G A I N S T   M A N A G E M E N T   F E E < / N a m e >  
             < A J E > 0 < / A J E >  
             < A d j u s t > - 1 6 5 9 0 < / A d j u s t >  
             < R J E > 0 < / R J E >  
             < P r e l i m i n a r y > - 1 6 5 9 0 < / P r e l i m i n a r y >  
             < F i n a l > - 1 6 5 9 0 < / F i n a l >  
         < / A c c o u n t S t o r a g e >  
         < A c c o u n t S t o r a g e >  
             < A c c o u n t B a l a n c e s >  
                 < A c c o u n t B a l a n c e >  
                     < F i e l d N a m e > P r i o r P e r i o d 1 B a l a n c e < / F i e l d N a m e >  
                     < B a l a n c e > - 4 7 4 6 < / B a l a n c e >  
                 < / A c c o u n t B a l a n c e >  
                 < A c c o u n t B a l a n c e >  
                     < F i e l d N a m e > P r i o r P e r i o d 2 B a l a n c e < / F i e l d N a m e >  
                     < B a l a n c e > - 4 7 4 6 < / 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 - 7 3 7 9 8 6 8 2 0 0 9 9 9 9 9 8 4 3 5 < / I D >  
             < T a r g e t A c c o u n t I D > - 7 3 7 9 8 6 8 2 0 0 9 9 9 9 9 8 6 6 1 < / T a r g e t A c c o u n t I D >  
             < C h a r t I D > - 7 3 7 9 8 6 8 2 0 0 9 9 9 9 9 8 6 9 7 < / C h a r t I D >  
             < I s L i n k e d > f a l s e < / I s L i n k e d >  
             < N u m b e r > 0 3 0 1 0 0 9 0 0 0 0 1 < / N u m b e r >  
             < N a m e > F e d   T a x   P a y a b l e   A g a i n s t   S a l e s   L o a d < / N a m e >  
             < A J E > 0 < / A J E >  
             < A d j u s t > - 4 7 4 6 < / A d j u s t >  
             < R J E > 0 < / R J E >  
             < P r e l i m i n a r y > - 4 7 4 6 < / P r e l i m i n a r y >  
             < F i n a l > - 4 7 4 6 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 - 7 3 7 9 8 6 8 2 0 0 9 9 9 9 9 8 4 3 4 < / I D >  
             < T a r g e t A c c o u n t I D > - 7 3 7 9 8 6 8 2 0 0 9 9 9 9 9 8 6 6 1 < / T a r g e t A c c o u n t I D >  
             < C h a r t I D > - 7 3 7 9 8 6 8 2 0 0 9 9 9 9 9 8 6 9 7 < / C h a r t I D >  
             < I s L i n k e d > f a l s e < / I s L i n k e d >  
             < N u m b e r > 0 3 0 9 0 0 1 0 0 0 0 1 < / N u m b e r >  
             < N a m e > D I V I D E N D   P A Y A B L E < / N a m e >  
             < A J E > 0 < / A J E >  
             < A d j u s t > 0 < / A d j u s t >  
             < R J E > 0 < / R J E >  
             < P r e l i m i n a r y > 0 < / P r e l i m i n a r y >  
             < F i n a l > 0 < / F i n a l >  
         < / A c c o u n t S t o r a g e >  
         < A c c o u n t S t o r a g e >  
             < A c c o u n t B a l a n c e s >  
                 < A c c o u n t B a l a n c e >  
                     < F i e l d N a m e > P r i o r P e r i o d 1 B a l a n c e < / F i e l d N a m e >  
                     < B a l a n c e > - 1 0 8 7 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 2 4 7 1 7 0 1 8 2 8 3 0 0 0 0 0 0 9 5 < / I D >  
             < T a r g e t A c c o u n t I D > - 7 3 7 9 8 6 8 2 0 0 9 9 9 9 9 8 6 6 1 < / T a r g e t A c c o u n t I D >  
             < C h a r t I D > - 7 3 7 9 8 6 8 2 0 0 9 9 9 9 9 8 6 9 7 < / C h a r t I D >  
             < I s L i n k e d > f a l s e < / I s L i n k e d >  
             < N u m b e r > 0 3 1 0 0 0 4 0 0 0 0 2 < / N u m b e r >  
             < N a m e > B R O K E R A G E   P A Y A B L E     E Q U I T Y   I N V E S T M E N T < / N a m e >  
             < A J E > 0 < / A J E >  
             < A d j u s t > 0 < / A d j u s t >  
             < R J E > 0 < / R J E >  
             < P r e l i m i n a r y > 0 < / P r e l i m i n a r y >  
             < F i n a l > 0 < / 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 - 3 4 4 < / B a l a n c e >  
                 < / A c c o u n t B a l a n c e >  
                 < A c c o u n t B a l a n c e >  
                     < F i e l d N a m e > P r i o r P e r i o d 3 B a l a n c e < / F i e l d N a m e >  
                     < B a l a n c e > - 1 8 4 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 - 7 3 7 9 8 6 8 2 0 0 9 9 9 9 9 8 5 2 8 < / I D >  
             < T a r g e t A c c o u n t I D > - 7 3 7 9 8 6 8 2 0 0 9 9 9 9 9 8 6 6 1 < / T a r g e t A c c o u n t I D >  
             < C h a r t I D > - 7 3 7 9 8 6 8 2 0 0 9 9 9 9 9 8 6 9 7 < / C h a r t I D >  
             < I s L i n k e d > f a l s e < / I s L i n k e d >  
             < N u m b e r > 0 3 1 0 0 0 5 0 0 0 0 1 < / N u m b e r >  
             < N a m e > B R O K E R A G E   P A Y A B L E   M O N E Y   M A R K E T < / N a m e >  
             < A J E > 0 < / A J E >  
             < A d j u s t > - 2 4 < / A d j u s t >  
             < R J E > 0 < / R J E >  
             < P r e l i m i n a r y > - 2 4 < / P r e l i m i n a r y >  
             < F i n a l > - 2 4 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 - 7 3 7 9 8 6 8 2 0 0 9 9 9 9 9 8 4 5 3 < / I D >  
             < T a r g e t A c c o u n t I D > - 7 3 7 9 8 6 8 2 0 0 9 9 9 9 9 8 6 6 1 < / T a r g e t A c c o u n t I D >  
             < C h a r t I D > - 7 3 7 9 8 6 8 2 0 0 9 9 9 9 9 8 6 9 7 < / C h a r t I D >  
             < I s L i n k e d > f a l s e < / I s L i n k e d >  
             < N u m b e r > 0 3 1 0 0 0 5 0 0 0 0 3 < / N u m b e r >  
             < N a m e > B R O K E R A G E   P A Y A B L E     M O N E Y   M A R K E T < / N a m e >  
             < A J E > 0 < / A J E >  
             < A d j u s t > 0 < / A d j u s t >  
             < R J E > 0 < / R J E >  
             < P r e l i m i n a r y > 0 < / P r e l i m i n a r y >  
             < F i n a l > 0 < / F i n a l >  
         < / A c c o u n t S t o r a g e >  
         < A c c o u n t S t o r a g e >  
             < A c c o u n t B a l a n c e s >  
                 < A c c o u n t B a l a n c e >  
                     < F i e l d N a m e > P r i o r P e r i o d 1 B a l a n c e < / F i e l d N a m e >  
                     < B a l a n c e > - 3 1 7 3 < / B a l a n c e >  
                 < / A c c o u n t B a l a n c e >  
                 < A c c o u n t B a l a n c e >  
                     < F i e l d N a m e > P r i o r P e r i o d 2 B a l a n c e < / F i e l d N a m e >  
                     < B a l a n c e > - 1 8 2 2 8 < / B a l a n c e >  
                 < / A c c o u n t B a l a n c e >  
                 < A c c o u n t B a l a n c e >  
                     < F i e l d N a m e > P r i o r P e r i o d 3 B a l a n c e < / F i e l d N a m e >  
                     < B a l a n c e > - 1 8 2 2 8 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 - 7 3 7 9 8 6 8 2 0 0 9 9 9 9 9 8 5 2 7 < / I D >  
             < T a r g e t A c c o u n t I D > - 7 3 7 9 8 6 8 2 0 0 9 9 9 9 9 8 6 6 1 < / T a r g e t A c c o u n t I D >  
             < C h a r t I D > - 7 3 7 9 8 6 8 2 0 0 9 9 9 9 9 8 6 9 7 < / C h a r t I D >  
             < I s L i n k e d > f a l s e < / I s L i n k e d >  
             < N u m b e r > 0 3 1 0 0 0 6 0 0 0 0 1 < / N u m b e r >  
             < N a m e > W O R K E R ' S   W E L F A R E   F U N D   P A Y A B L E < / N a m e >  
             < A J E > 0 < / A J E >  
             < A d j u s t > - 5 0 3 7 < / A d j u s t >  
             < R J E > 0 < / R J E >  
             < P r e l i m i n a r y > - 5 0 3 7 < / P r e l i m i n a r y >  
             < F i n a l > - 5 0 3 7 < / F i n a l >  
         < / A c c o u n t S t o r a g e >  
         < A c c o u n t S t o r a g e >  
             < A c c o u n t B a l a n c e s >  
                 < A c c o u n t B a l a n c e >  
                     < F i e l d N a m e > P r i o r P e r i o d 1 B a l a n c e < / F i e l d N a m e >  
                     < B a l a n c e > - 4 1 9 < / B a l a n c e >  
                 < / A c c o u n t B a l a n c e >  
                 < A c c o u n t B a l a n c e >  
                     < F i e l d N a m e > P r i o r P e r i o d 2 B a l a n c e < / F i e l d N a m e >  
                     < B a l a n c e > - 4 1 9 < / B a l a n c e >  
                 < / A c c o u n t B a l a n c e >  
                 < A c c o u n t B a l a n c e >  
                     < F i e l d N a m e > P r i o r P e r i o d 3 B a l a n c e < / F i e l d N a m e >  
                     < B a l a n c e > - 3 6 8 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 - 7 3 7 9 8 6 8 2 0 0 9 9 9 9 9 8 5 2 6 < / I D >  
             < T a r g e t A c c o u n t I D > - 7 3 7 9 8 6 8 2 0 0 9 9 9 9 9 8 6 6 1 < / T a r g e t A c c o u n t I D >  
             < C h a r t I D > - 7 3 7 9 8 6 8 2 0 0 9 9 9 9 9 8 6 9 7 < / C h a r t I D >  
             < I s L i n k e d > f a l s e < / I s L i n k e d >  
             < N u m b e r > 0 3 1 0 0 0 7 0 0 0 0 1 < / N u m b e r >  
             < N a m e > A U D I T   F E E   P A Y A B L E < / N a m e >  
             < A J E > 0 < / A J E >  
             < A d j u s t > - 3 6 0 < / A d j u s t >  
             < R J E > 0 < / R J E >  
             < P r e l i m i n a r y > - 3 6 0 < / P r e l i m i n a r y >  
             < F i n a l > - 3 6 0 < / F i n a l >  
         < / A c c o u n t S t o r a g e >  
         < A c c o u n t S t o r a g e >  
             < A c c o u n t B a l a n c e s >  
                 < A c c o u n t B a l a n c e >  
                     < F i e l d N a m e > P r i o r P e r i o d 1 B a l a n c e < / F i e l d N a m e >  
                     < B a l a n c e > - 1 0 5 8 < / B a l a n c e >  
                 < / A c c o u n t B a l a n c e >  
                 < A c c o u n t B a l a n c e >  
                     < F i e l d N a m e > P r i o r P e r i o d 2 B a l a n c e < / F i e l d N a m e >  
                     < B a l a n c e > - 1 6 6 7 < / B a l a n c e >  
                 < / A c c o u n t B a l a n c e >  
                 < A c c o u n t B a l a n c e >  
                     < F i e l d N a m e > P r i o r P e r i o d 3 B a l a n c e < / F i e l d N a m e >  
                     < B a l a n c e > - 4 7 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 - 7 3 7 9 8 6 8 2 0 0 9 9 9 9 9 8 5 2 5 < / I D >  
             < T a r g e t A c c o u n t I D > - 7 3 7 9 8 6 8 2 0 0 9 9 9 9 9 8 6 6 1 < / T a r g e t A c c o u n t I D >  
             < C h a r t I D > - 7 3 7 9 8 6 8 2 0 0 9 9 9 9 9 8 6 9 7 < / C h a r t I D >  
             < I s L i n k e d > f a l s e < / I s L i n k e d >  
             < N u m b e r > 0 3 1 0 0 0 8 0 0 0 0 1 < / N u m b e r >  
             < N a m e > W I T H H O L D I N G   T A X   P A Y A B L E     C G T   U / S   3 7 A < / N a m e >  
             < A J E > 0 < / A J E >  
             < A d j u s t > - 8 5 < / A d j u s t >  
             < R J E > 0 < / R J E >  
             < P r e l i m i n a r y > - 8 5 < / P r e l i m i n a r y >  
             < F i n a l > - 8 5 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 - 9 2 7 8 < / B a l a n c e >  
                 < / A c c o u n t B a l a n c e >  
                 < A c c o u n t B a l a n c e >  
                     < F i e l d N a m e > P r i o r P e r i o d 3 B a l a n c e < / F i e l d N a m e >  
                     < B a l a n c e > - 8 2 8 2 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 - 7 3 7 9 8 6 8 2 0 0 9 9 9 9 9 8 4 6 8 < / I D >  
             < T a r g e t A c c o u n t I D > - 7 3 7 9 8 6 8 2 0 0 9 9 9 9 9 8 6 6 1 < / T a r g e t A c c o u n t I D >  
             < C h a r t I D > - 7 3 7 9 8 6 8 2 0 0 9 9 9 9 9 8 6 9 7 < / C h a r t I D >  
             < I s L i n k e d > f a l s e < / I s L i n k e d >  
             < N u m b e r > 0 3 1 0 0 0 9 0 0 0 0 2 < / N u m b e r >  
             < N a m e > W . H .   T A X   P A Y A B L E     D I V I D E N D   U / S   1 5 0 < / N a m e >  
             < A J E > 0 < / A J E >  
             < A d j u s t > 0 < / A d j u s t >  
             < R J E > 0 < / R J E >  
             < P r e l i m i n a r y > 0 < / P r e l i m i n a r y >  
             < F i n a l > 0 < / F i n a l >  
         < / A c c o u n t S t o r a g e >  
         < A c c o u n t S t o r a g e >  
             < A c c o u n t B a l a n c e s >  
                 < A c c o u n t B a l a n c e >  
                     < F i e l d N a m e > P r i o r P e r i o d 1 B a l a n c e < / F i e l d N a m e >  
                     < B a l a n c e > - 6 0 < / B a l a n c e >  
                 < / A c c o u n t B a l a n c e >  
                 < A c c o u n t B a l a n c e >  
                     < F i e l d N a m e > P r i o r P e r i o d 2 B a l a n c e < / F i e l d N a m e >  
                     < B a l a n c e > - 6 0 < / B a l a n c e >  
                 < / A c c o u n t B a l a n c e >  
                 < A c c o u n t B a l a n c e >  
                     < F i e l d N a m e > P r i o r P e r i o d 3 B a l a n c e < / F i e l d N a m e >  
                     < B a l a n c e > - 1 0 0 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 - 7 3 7 9 8 6 8 2 0 0 9 9 9 9 9 8 4 6 7 < / I D >  
             < T a r g e t A c c o u n t I D > - 7 3 7 9 8 6 8 2 0 0 9 9 9 9 9 8 6 6 1 < / T a r g e t A c c o u n t I D >  
             < C h a r t I D > - 7 3 7 9 8 6 8 2 0 0 9 9 9 9 9 8 6 9 7 < / C h a r t I D >  
             < I s L i n k e d > f a l s e < / I s L i n k e d >  
             < N u m b e r > 0 3 1 0 0 1 2 0 0 0 0 1 < / N u m b e r >  
             < N a m e > P A Y A B L E   T O   L E G A L   A D V I S O R < / N a m e >  
             < A J E > 0 < / A J E >  
             < A d j u s t > - 6 0 < / A d j u s t >  
             < R J E > 0 < / R J E >  
             < P r e l i m i n a r y > - 6 0 < / P r e l i m i n a r y >  
             < F i n a l > - 6 0 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 - 6 9 5 < / B a l a n c e >  
                 < / A c c o u n t B a l a n c e >  
                 < A c c o u n t B a l a n c e >  
                     < F i e l d N a m e > P r i o r P e r i o d 3 B a l a n c e < / F i e l d N a m e >  
                     < B a l a n c e > - 6 9 5 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 - 7 3 7 9 8 6 8 2 0 0 9 9 9 9 9 8 5 2 4 < / I D >  
             < T a r g e t A c c o u n t I D > - 7 3 7 9 8 6 8 2 0 0 9 9 9 9 9 8 6 6 1 < / T a r g e t A c c o u n t I D >  
             < C h a r t I D > - 7 3 7 9 8 6 8 2 0 0 9 9 9 9 9 8 6 9 7 < / C h a r t I D >  
             < I s L i n k e d > f a l s e < / I s L i n k e d >  
             < N u m b e r > 0 3 1 0 0 1 5 0 0 0 0 1 < / N u m b e r >  
             < N a m e > Z A K A T   P A Y A B L E 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 - 2 1 < / B a l a n c e >  
                 < / A c c o u n t B a l a n c e >  
                 < A c c o u n t B a l a n c e >  
                     < F i e l d N a m e > P r i o r P e r i o d 3 B a l a n c e < / F i e l d N a m e >  
                     < B a l a n c e > - 1 0 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 - 7 3 7 9 8 6 8 2 0 0 9 9 9 9 9 8 5 2 3 < / I D >  
             < T a r g e t A c c o u n t I D > - 7 3 7 9 8 6 8 2 0 0 9 9 9 9 9 8 6 6 1 < / T a r g e t A c c o u n t I D >  
             < C h a r t I D > - 7 3 7 9 8 6 8 2 0 0 9 9 9 9 9 8 6 9 7 < / C h a r t I D >  
             < I s L i n k e d > f a l s e < / I s L i n k e d >  
             < N u m b e r > 0 3 1 0 0 1 6 0 0 0 0 1 < / N u m b e r >  
             < N a m e > S E T T L E M E N T   C H A R G E S   P A Y A B L E   T O   N C C P L < / N a m e >  
             < A J E > 0 < / A J E >  
             < A d j u s t > 0 < / A d j u s t >  
             < R J E > 0 < / R J E >  
             < P r e l i m i n a r y > 0 < / P r e l i m i n a r y >  
             < F i n a l > 0 < / F i n a l >  
         < / A c c o u n t S t o r a g e >  
         < A c c o u n t S t o r a g e >  
             < A c c o u n t B a l a n c e s >  
                 < A c c o u n t B a l a n c e >  
                     < F i e l d N a m e > P r i o r P e r i o d 1 B a l a n c e < / F i e l d N a m e >  
                     < B a l a n c e > - 8 0 < / B a l a n c e >  
                 < / A c c o u n t B a l a n c e >  
                 < A c c o u n t B a l a n c e >  
                     < F i e l d N a m e > P r i o r P e r i o d 2 B a l a n c e < / F i e l d N a m e >  
                     < B a l a n c e > - 1 0 0 < / B a l a n c e >  
                 < / A c c o u n t B a l a n c e >  
                 < A c c o u n t B a l a n c e >  
                     < F i e l d N a m e > P r i o r P e r i o d 3 B a l a n c e < / F i e l d N a m e >  
                     < B a l a n c e > - 1 0 1 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 - 7 3 7 9 8 6 8 2 0 0 9 9 9 9 9 8 5 2 2 < / I D >  
             < T a r g e t A c c o u n t I D > - 7 3 7 9 8 6 8 2 0 0 9 9 9 9 9 8 6 6 1 < / T a r g e t A c c o u n t I D >  
             < C h a r t I D > - 7 3 7 9 8 6 8 2 0 0 9 9 9 9 9 8 6 9 7 < / C h a r t I D >  
             < I s L i n k e d > f a l s e < / I s L i n k e d >  
             < N u m b e r > 0 3 1 0 0 1 7 0 0 0 0 1 < / N u m b e r >  
             < N a m e > P R I N T I N G   C H A R G E S   P A Y A B L E < / N a m e >  
             < A J E > 0 < / A J E >  
             < A d j u s t > - 4 0 < / A d j u s t >  
             < R J E > 0 < / R J E >  
             < P r e l i m i n a r y > - 4 0 < / P r e l i m i n a r y >  
             < F i n a l > - 4 0 < / F i n a l >  
         < / A c c o u n t S t o r a g e >  
         < A c c o u n t S t o r a g e >  
             < A c c o u n t B a l a n c e s >  
                 < A c c o u n t B a l a n c e >  
                     < F i e l d N a m e > P r i o r P e r i o d 1 B a l a n c e < / F i e l d N a m e >  
                     < B a l a n c e > - 2 6 1 1 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 2 4 7 7 8 1 8 0 9 3 5 0 0 0 0 1 0 8 2 < / I D >  
             < T a r g e t A c c o u n t I D > - 7 3 7 9 8 6 8 2 0 0 9 9 9 9 9 8 6 6 1 < / T a r g e t A c c o u n t I D >  
             < C h a r t I D > - 7 3 7 9 8 6 8 2 0 0 9 9 9 9 9 8 6 9 7 < / C h a r t I D >  
             < I s L i n k e d > f a l s e < / I s L i n k e d >  
             < N u m b e r > 0 3 1 0 0 1 9 0 0 0 0 1 < / N u m b e r >  
             < N a m e > O T H E R   P A Y A B L E < / N a m e >  
             < A J E > 0 < / A J E >  
             < A d j u s t > - 7 0 < / A d j u s t >  
             < R J E > 0 < / R J E >  
             < P r e l i m i n a r y > - 7 0 < / P r e l i m i n a r y >  
             < F i n a l > - 7 0 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 - 3 2 1 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 2 2 8 5 9 4 7 1 0 2 1 0 0 0 0 7 5 2 8 < / I D >  
             < T a r g e t A c c o u n t I D > - 7 3 7 9 8 6 8 2 0 0 9 9 9 9 9 8 6 6 1 < / T a r g e t A c c o u n t I D >  
             < C h a r t I D > - 7 3 7 9 8 6 8 2 0 0 9 9 9 9 9 8 6 9 7 < / C h a r t I D >  
             < I s L i n k e d > f a l s e < / I s L i n k e d >  
             < N u m b e r > D T 1 < / N u m b e r >  
             < N a m e > S S T   p a y a b l e   o n   b a c k   o f f i c e   o p e r a t i o n   e x p e n s e s 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 2 4 7 1 7 0 1 8 2 8 3 0 0 0 0 0 0 9 6 < / I D >  
             < T a r g e t A c c o u n t I D > 2 4 7 1 7 0 1 8 2 8 3 0 0 0 0 0 1 3 3 < / T a r g e t A c c o u n t I D >  
             < C h a r t I D > - 7 3 7 9 8 6 8 2 0 0 9 9 9 9 9 8 6 9 7 < / C h a r t I D >  
             < I s L i n k e d > f a l s e < / I s L i n k e d >  
             < N u m b e r > 0 3 1 3 0 0 9 0 0 0 9 < / N u m b e r >  
             < N a m e > P a y a b l e   A g a i n s t   E x p o s u r e   I n   M a g i n   T r a d i n g   S y s t e m < / N a m e >  
             < A J E > 0 < / A J E >  
             < A d j u s t > 0 < / A d j u s t >  
             < R J E > 0 < / R J E >  
             < P r e l i m i n a r y > 0 < / P r e l i m i n a r y >  
             < F i n a l > 0 < / F i n a l >  
         < / A c c o u n t S t o r a g e >  
         < A c c o u n t S t o r a g e >  
             < A c c o u n t B a l a n c e s >  
                 < A c c o u n t B a l a n c e >  
                     < F i e l d N a m e > P r i o r P e r i o d 1 B a l a n c e < / F i e l d N a m e >  
                     < B a l a n c e > 3 0 5 4 < / B a l a n c e >  
                 < / A c c o u n t B a l a n c e >  
                 < A c c o u n t B a l a n c e >  
                     < F i e l d N a m e > P r i o r P e r i o d 2 B a l a n c e < / F i e l d N a m e >  
                     < B a l a n c e > - 8 0 6 0 < / B a l a n c e >  
                 < / A c c o u n t B a l a n c e >  
                 < A c c o u n t B a l a n c e >  
                     < F i e l d N a m e > P r i o r P e r i o d 3 B a l a n c e < / F i e l d N a m e >  
                     < B a l a n c e > 4 9 8 2 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 - 7 3 7 9 8 6 8 2 0 0 9 9 9 9 9 8 5 3 7 < / I D >  
             < T a r g e t A c c o u n t I D > - 7 3 7 9 8 6 8 2 0 0 9 9 9 9 9 8 6 5 5 < / T a r g e t A c c o u n t I D >  
             < C h a r t I D > - 7 3 7 9 8 6 8 2 0 0 9 9 9 9 9 8 6 9 7 < / C h a r t I D >  
             < I s L i n k e d > f a l s e < / I s L i n k e d >  
             < N u m b e r > 0 2 0 4 0 0 4 0 0 0 0 1 < / N u m b e r >  
             < N a m e > U n r e a l i z e d   G a i n   /   ( L o s s )   P i b -   A f s < / N a m e >  
             < A J E > 0 < / A J E >  
             < A d j u s t > 2 7 < / A d j u s t >  
             < R J E > 0 < / R J E >  
             < P r e l i m i n a r y > 2 7 < / P r e l i m i n a r y >  
             < F i n a l > 2 7 < / F i n a l >  
         < / A c c o u n t S t o r a g e >  
         < A c c o u n t S t o r a g e >  
             < A c c o u n t B a l a n c e s >  
                 < A c c o u n t B a l a n c e >  
                     < F i e l d N a m e > P r i o r P e r i o d 1 B a l a n c e < / F i e l d N a m e >  
                     < B a l a n c e > 6 3 7 6 8 < / B a l a n c e >  
                 < / A c c o u n t B a l a n c e >  
                 < A c c o u n t B a l a n c e >  
                     < F i e l d N a m e > P r i o r P e r i o d 2 B a l a n c e < / F i e l d N a m e >  
                     < B a l a n c e > 1 0 1 5 3 2 < / B a l a n c e >  
                 < / A c c o u n t B a l a n c e >  
                 < A c c o u n t B a l a n c e >  
                     < F i e l d N a m e > P r i o r P e r i o d 3 B a l a n c e < / F i e l d N a m e >  
                     < B a l a n c e > 8 1 5 4 0 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 - 7 3 7 9 8 6 8 2 0 0 9 9 9 9 9 8 5 3 8 < / I D >  
             < T a r g e t A c c o u n t I D > - 7 3 7 9 8 6 8 2 0 0 9 9 9 9 9 8 6 5 7 < / T a r g e t A c c o u n t I D >  
             < C h a r t I D > - 7 3 7 9 8 6 8 2 0 0 9 9 9 9 9 8 6 9 7 < / C h a r t I D >  
             < I s L i n k e d > f a l s e < / I s L i n k e d >  
             < N u m b e r > 0 2 0 3 0 0 1 0 0 0 0 1 < / N u m b e r >  
             < N a m e > U N A P P R O P R I A T E D   I N C O M E < / N a m e >  
             < A J E > 0 < / A J E >  
             < A d j u s t > 0 < / A d j u s t >  
             < R J E > 0 < / R J E >  
             < P r e l i m i n a r y > 0 < / P r e l i m i n a r y >  
             < F i n a l > 0 < / F i n a l >  
         < / A c c o u n t S t o r a g e >  
         < A c c o u n t S t o r a g e >  
             < A c c o u n t B a l a n c e s >  
                 < A c c o u n t B a l a n c e >  
                     < F i e l d N a m e > P r i o r P e r i o d 1 B a l a n c e < / F i e l d N a m e >  
                     < B a l a n c e > - 2 2 0 7 6 3 4 < / B a l a n c e >  
                 < / A c c o u n t B a l a n c e >  
                 < A c c o u n t B a l a n c e >  
                     < F i e l d N a m e > P r i o r P e r i o d 2 B a l a n c e < / F i e l d N a m e >  
                     < B a l a n c e > - 3 6 1 9 5 2 7 < / B a l a n c e >  
                 < / A c c o u n t B a l a n c e >  
                 < A c c o u n t B a l a n c e >  
                     < F i e l d N a m e > P r i o r P e r i o d 3 B a l a n c e < / F i e l d N a m e >  
                     < B a l a n c e > - 1 9 2 6 5 1 4 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 - 7 3 7 9 8 6 8 2 0 0 9 9 9 9 9 8 5 4 4 < / I D >  
             < T a r g e t A c c o u n t I D > - 7 3 7 9 8 6 8 2 0 0 9 9 9 9 9 8 6 5 6 < / T a r g e t A c c o u n t I D >  
             < C h a r t I D > - 7 3 7 9 8 6 8 2 0 0 9 9 9 9 9 8 6 9 7 < / C h a r t I D >  
             < I s L i n k e d > f a l s e < / I s L i n k e d >  
             < N u m b e r > 0 2 0 1 0 0 1 0 0 0 0 1 < / N u m b e r >  
             < N a m e > I S S U E D   O F   U N I T S   A G A I N S T   S A L E   O F   U N I T S < / N a m e >  
             < A J E > 0 < / A J E >  
             < A d j u s t > - 1 0 1 6 3 4 1 < / A d j u s t >  
             < R J E > 0 < / R J E >  
             < P r e l i m i n a r y > - 1 0 1 6 3 4 1 < / P r e l i m i n a r y >  
             < F i n a l > - 1 0 1 6 3 4 1 < / F i n a l >  
         < / A c c o u n t S t o r a g e >  
         < A c c o u n t S t o r a g e >  
             < A c c o u n t B a l a n c e s >  
                 < A c c o u n t B a l a n c e >  
                     < F i e l d N a m e > P r i o r P e r i o d 1 B a l a n c e < / F i e l d N a m e >  
                     < B a l a n c e > 2 4 3 9 3 3 8 < / B a l a n c e >  
                 < / A c c o u n t B a l a n c e >  
                 < A c c o u n t B a l a n c e >  
                     < F i e l d N a m e > P r i o r P e r i o d 2 B a l a n c e < / F i e l d N a m e >  
                     < B a l a n c e > 1 1 0 4 2 2 3 < / B a l a n c e >  
                 < / A c c o u n t B a l a n c e >  
                 < A c c o u n t B a l a n c e >  
                     < F i e l d N a m e > P r i o r P e r i o d 3 B a l a n c e < / F i e l d N a m e >  
                     < B a l a n c e > 2 4 4 4 3 6 5 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 - 7 3 7 9 8 6 8 2 0 0 9 9 9 9 9 8 5 4 3 < / I D >  
             < T a r g e t A c c o u n t I D > - 7 3 7 9 8 6 8 2 0 0 9 9 9 9 9 8 6 5 6 < / T a r g e t A c c o u n t I D >  
             < C h a r t I D > - 7 3 7 9 8 6 8 2 0 0 9 9 9 9 9 8 6 9 7 < / C h a r t I D >  
             < I s L i n k e d > f a l s e < / I s L i n k e d >  
             < N u m b e r > 0 2 0 1 0 0 2 0 0 0 0 1 < / N u m b e r >  
             < N a m e > R E D E M P T I O N   O F   U N I T S     N O R M A L < / N a m e >  
             < A J E > 0 < / A J E >  
             < A d j u s t > 1 3 7 6 0 8 0 < / A d j u s t >  
             < R J E > 0 < / R J E >  
             < P r e l i m i n a r y > 1 3 7 6 0 8 0 < / P r e l i m i n a r y >  
             < F i n a l > 1 3 7 6 0 8 0 < / F i n a l >  
         < / A c c o u n t S t o r a g e >  
         < A c c o u n t S t o r a g e >  
             < A c c o u n t B a l a n c e s >  
                 < A c c o u n t B a l a n c e >  
                     < F i e l d N a m e > P r i o r P e r i o d 1 B a l a n c e < / F i e l d N a m e >  
                     < B a l a n c e > - 3 4 9 6 0 6 9 < / B a l a n c e >  
                 < / A c c o u n t B a l a n c e >  
                 < A c c o u n t B a l a n c e >  
                     < F i e l d N a m e > P r i o r P e r i o d 2 B a l a n c e < / F i e l d N a m e >  
                     < B a l a n c e > - 3 1 4 8 2 7 5 < / B a l a n c e >  
                 < / A c c o u n t B a l a n c e >  
                 < A c c o u n t B a l a n c e >  
                     < F i e l d N a m e > P r i o r P e r i o d 3 B a l a n c e < / F i e l d N a m e >  
                     < B a l a n c e > - 9 0 5 7 9 2 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 - 7 3 7 9 8 6 8 2 0 0 9 9 9 9 9 8 5 4 2 < / I D >  
             < T a r g e t A c c o u n t I D > - 7 3 7 9 8 6 8 2 0 0 9 9 9 9 9 8 6 5 6 < / T a r g e t A c c o u n t I D >  
             < C h a r t I D > - 7 3 7 9 8 6 8 2 0 0 9 9 9 9 9 8 6 9 7 < / C h a r t I D >  
             < I s L i n k e d > f a l s e < / I s L i n k e d >  
             < N u m b e r > 0 2 0 1 0 0 3 0 0 0 0 1 < / N u m b e r >  
             < N a m e > C O N V E R S I O N   I N   U N I T S < / N a m e >  
             < A J E > 0 < / A J E >  
             < A d j u s t > - 1 2 1 7 7 9 5 < / A d j u s t >  
             < R J E > 0 < / R J E >  
             < P r e l i m i n a r y > - 1 2 1 7 7 9 5 < / P r e l i m i n a r y >  
             < F i n a l > - 1 2 1 7 7 9 5 < / F i n a l >  
         < / A c c o u n t S t o r a g e >  
         < A c c o u n t S t o r a g e >  
             < A c c o u n t B a l a n c e s >  
                 < A c c o u n t B a l a n c e >  
                     < F i e l d N a m e > P r i o r P e r i o d 1 B a l a n c e < / F i e l d N a m e >  
                     < B a l a n c e > 4 0 9 7 1 8 0 < / B a l a n c e >  
                 < / A c c o u n t B a l a n c e >  
                 < A c c o u n t B a l a n c e >  
                     < F i e l d N a m e > P r i o r P e r i o d 2 B a l a n c e < / F i e l d N a m e >  
                     < B a l a n c e > 4 2 8 9 4 5 1 < / B a l a n c e >  
                 < / A c c o u n t B a l a n c e >  
                 < A c c o u n t B a l a n c e >  
                     < F i e l d N a m e > P r i o r P e r i o d 3 B a l a n c e < / F i e l d N a m e >  
                     < B a l a n c e > 1 2 1 7 9 1 2 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 - 7 3 7 9 8 6 8 2 0 0 9 9 9 9 9 8 5 4 1 < / I D >  
             < T a r g e t A c c o u n t I D > - 7 3 7 9 8 6 8 2 0 0 9 9 9 9 9 8 6 5 6 < / T a r g e t A c c o u n t I D >  
             < C h a r t I D > - 7 3 7 9 8 6 8 2 0 0 9 9 9 9 9 8 6 9 7 < / C h a r t I D >  
             < I s L i n k e d > f a l s e < / I s L i n k e d >  
             < N u m b e r > 0 2 0 1 0 0 4 0 0 0 0 1 < / N u m b e r >  
             < N a m e > C O N V E R S I O N   O U T   U N I T S < / N a m e >  
             < A J E > 0 < / A J E >  
             < A d j u s t > 1 2 8 7 4 0 1 < / A d j u s t >  
             < R J E > 0 < / R J E >  
             < P r e l i m i n a r y > 1 2 8 7 4 0 1 < / P r e l i m i n a r y >  
             < F i n a l > 1 2 8 7 4 0 1 < / F i n a l >  
         < / A c c o u n t S t o r a g e >  
         < A c c o u n t S t o r a g e >  
             < A c c o u n t B a l a n c e s >  
                 < A c c o u n t B a l a n c e >  
                     < F i e l d N a m e > P r i o r P e r i o d 1 B a l a n c e < / F i e l d N a m e >  
                     < B a l a n c e > - 4 8 0 8 1 < / B a l a n c e >  
                 < / A c c o u n t B a l a n c e >  
                 < A c c o u n t B a l a n c e >  
                     < F i e l d N a m e > P r i o r P e r i o d 2 B a l a n c e < / F i e l d N a m e >  
                     < B a l a n c e > 1 0 4 8 6 5 < / B a l a n c e >  
                 < / A c c o u n t B a l a n c e >  
                 < A c c o u n t B a l a n c e >  
                     < F i e l d N a m e > P r i o r P e r i o d 3 B a l a n c e < / F i e l d N a m e >  
                     < B a l a n c e > - 1 0 6 6 9 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 - 7 3 7 9 8 6 8 2 0 0 9 9 9 9 9 8 5 3 9 < / I D >  
             < T a r g e t A c c o u n t I D > - 7 3 7 9 8 6 8 2 0 0 9 9 9 9 9 8 6 5 6 < / T a r g e t A c c o u n t I D >  
             < C h a r t I D > - 7 3 7 9 8 6 8 2 0 0 9 9 9 9 9 8 6 9 7 < / C h a r t I D >  
             < I s L i n k e d > f a l s e < / I s L i n k e d >  
             < N u m b e r > 0 2 0 2 0 0 2 0 0 0 0 1 < / N u m b e r >  
             < N a m e > E L E M E N T   O F   I N C O M E     U N R E A L I Z E D < / N a m e >  
             < A J E > 0 < / A J E >  
             < A d j u s t > - 2 3 4 6 0 < / A d j u s t >  
             < R J E > 0 < / R J E >  
             < P r e l i m i n a r y > - 2 3 4 6 0 < / P r e l i m i n a r y >  
             < F i n a l > - 2 3 4 6 0 < / F i n a l >  
         < / A c c o u n t S t o r a g e >  
         < A c c o u n t S t o r a g e >  
             < A c c o u n t B a l a n c e s >  
                 < A c c o u n t B a l a n c e >  
                     < F i e l d N a m e > P r i o r P e r i o d 1 B a l a n c e < / F i e l d N a m e >  
                     < B a l a n c e > - 2 4 6 2 5 5 2 < / B a l a n c e >  
                 < / A c c o u n t B a l a n c e >  
                 < A c c o u n t B a l a n c e >  
                     < F i e l d N a m e > P r i o r P e r i o d 2 B a l a n c e < / F i e l d N a m e >  
                     < B a l a n c e > - 9 6 8 7 0 8 < / B a l a n c e >  
                 < / A c c o u n t B a l a n c e >  
                 < A c c o u n t B a l a n c e >  
                     < F i e l d N a m e > P r i o r P e r i o d 3 B a l a n c e < / F i e l d N a m e >  
                     < B a l a n c e > - 1 6 7 7 1 6 6 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 - 7 3 7 9 8 6 8 2 0 0 9 9 9 9 9 8 5 3 6 < / I D >  
             < T a r g e t A c c o u n t I D > - 7 3 7 9 8 6 8 2 0 0 9 9 9 9 9 8 6 5 6 < / T a r g e t A c c o u n t I D >  
             < C h a r t I D > - 7 3 7 9 8 6 8 2 0 0 9 9 9 9 9 8 6 9 7 < / C h a r t I D >  
             < I s L i n k e d > f a l s e < / I s L i n k e d >  
             < N u m b e r > 0 2 0 5 0 0 1 0 0 0 0 1 < / N u m b e r >  
             < N a m e > B A L A N C E   A C C O U N T < / N a m e >  
             < A J E > 0 < / A J E >  
             < A d j u s t > - 1 6 8 8 0 6 7 < / A d j u s t >  
             < R J E > 0 < / R J E >  
             < P r e l i m i n a r y > - 1 6 8 8 0 6 7 < / P r e l i m i n a r y >  
             < F i n a l > - 1 6 8 8 0 6 7 < / F i n a l >  
         < / A c c o u n t S t o r a g e >  
         < A c c o u n t S t o r a g e >  
             < A c c o u n t B a l a n c e s >  
                 < A c c o u n t B a l a n c e >  
                     < F i e l d N a m e > P r i o r P e r i o d 1 B a l a n c e < / F i e l d N a m e >  
                     < B a l a n c e > - 6 1 2 7 1 < / B a l a n c e >  
                 < / A c c o u n t B a l a n c e >  
                 < A c c o u n t B a l a n c e >  
                     < F i e l d N a m e > P r i o r P e r i o d 2 B a l a n c e < / F i e l d N a m e >  
                     < B a l a n c e > - 1 3 3 1 3 6 < / B a l a n c e >  
                 < / A c c o u n t B a l a n c e >  
                 < A c c o u n t B a l a n c e >  
                     < F i e l d N a m e > P r i o r P e r i o d 3 B a l a n c e < / F i e l d N a m e >  
                     < B a l a n c e > - 9 0 3 7 4 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 - 7 3 7 9 8 6 8 2 0 0 9 9 9 9 9 8 5 4 0 < / I D >  
             < T a r g e t A c c o u n t I D > - 7 3 7 9 8 6 8 2 0 0 9 9 9 9 9 8 6 5 4 < / T a r g e t A c c o u n t I D >  
             < C h a r t I D > - 7 3 7 9 8 6 8 2 0 0 9 9 9 9 9 8 6 9 7 < / C h a r t I D >  
             < I s L i n k e d > f a l s e < / I s L i n k e d >  
             < N u m b e r > 0 2 0 2 0 0 1 0 0 0 0 1 < / N u m b e r >  
             < N a m e > E L E M E N T   O F   I N C O M E     R E A L I Z E D < / N a m e >  
             < A J E > 0 < / A J E >  
             < A d j u s t > - 2 5 0 3 0 < / A d j u s t >  
             < R J E > 0 < / R J E >  
             < P r e l i m i n a r y > - 2 5 0 3 0 < / P r e l i m i n a r y >  
             < F i n a l > - 2 5 0 3 0 < / F i n a l >  
         < / A c c o u n t S t o r a g e >  
         < A c c o u n t S t o r a g e >  
             < A c c o u n t B a l a n c e s >  
                 < A c c o u n t B a l a n c e >  
                     < F i e l d N a m e > P r i o r P e r i o d 1 B a l a n c e < / F i e l d N a m e >  
                     < B a l a n c e > - 1 7 6 0 5 < / 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 2 4 7 1 7 0 1 8 2 8 3 0 0 0 0 0 0 9 7 < / I D >  
             < T a r g e t A c c o u n t I D > - 7 3 7 9 8 6 8 2 0 0 9 9 9 9 9 8 6 5 0 < / T a r g e t A c c o u n t I D >  
             < C h a r t I D > - 7 3 7 9 8 6 8 2 0 0 9 9 9 9 9 8 6 9 7 < / C h a r t I D >  
             < I s L i n k e d > f a l s e < / I s L i n k e d >  
             < N u m b e r > 0 4 0 1 0 0 1 0 0 0 0 1 < / N u m b e r >  
             < N a m e > C A P I T A L   G A I N   /   ( L O S S )   O N   S A L E   O F   E Q U I T Y   S E C U R I T I E S < / N a m e >  
             < A J E > 0 < / A J E >  
             < A d j u s t > - 8 9 0 < / A d j u s t >  
             < R J E > 0 < / R J E >  
             < P r e l i m i n a r y > - 8 9 0 < / P r e l i m i n a r y >  
             < F i n a l > - 8 9 0 < / F i n a l >  
         < / A c c o u n t S t o r a g e >  
         < A c c o u n t S t o r a g e >  
             < A c c o u n t B a l a n c e s >  
                 < A c c o u n t B a l a n c e >  
                     < F i e l d N a m e > P r i o r P e r i o d 1 B a l a n c e < / F i e l d N a m e >  
                     < B a l a n c e > - 4 3 < / B a l a n c e >  
                 < / A c c o u n t B a l a n c e >  
                 < A c c o u n t B a l a n c e >  
                     < F i e l d N a m e > P r i o r P e r i o d 2 B a l a n c e < / F i e l d N a m e >  
                     < B a l a n c e > 3 5 1 < / B a l a n c e >  
                 < / A c c o u n t B a l a n c e >  
                 < A c c o u n t B a l a n c e >  
                     < F i e l d N a m e > P r i o r P e r i o d 3 B a l a n c e < / F i e l d N a m e >  
                     < B a l a n c e > - 7 8 4 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 - 7 3 7 9 8 6 8 2 0 0 9 9 9 9 9 8 5 2 1 < / I D >  
             < T a r g e t A c c o u n t I D > - 7 3 7 9 8 6 8 2 0 0 9 9 9 9 9 8 6 5 0 < / T a r g e t A c c o u n t I D >  
             < C h a r t I D > - 7 3 7 9 8 6 8 2 0 0 9 9 9 9 9 8 6 9 7 < / C h a r t I D >  
             < I s L i n k e d > f a l s e < / I s L i n k e d >  
             < N u m b e r > 0 4 0 1 0 0 2 0 0 0 0 1 < / N u m b e r >  
             < N a m e > C A P I T A L   G A I N   /   ( L O S S )   O N   S A L E   O F   D E B T   S E C U R I T I E S < / N a m e >  
             < A J E > 0 < / A J E >  
             < A d j u s t > 3 8 1 9 < / A d j u s t >  
             < R J E > 0 < / R J E >  
             < P r e l i m i n a r y > 3 8 1 9 < / P r e l i m i n a r y >  
             < F i n a l > 3 8 1 9 < / F i n a l >  
         < / A c c o u n t S t o r a g e >  
         < A c c o u n t S t o r a g e >  
             < A c c o u n t B a l a n c e s >  
                 < A c c o u n t B a l a n c e >  
                     < F i e l d N a m e > P r i o r P e r i o d 1 B a l a n c e < / F i e l d N a m e >  
                     < B a l a n c e > 7 8 6 5 < / B a l a n c e >  
                 < / A c c o u n t B a l a n c e >  
                 < A c c o u n t B a l a n c e >  
                     < F i e l d N a m e > P r i o r P e r i o d 2 B a l a n c e < / F i e l d N a m e >  
                     < B a l a n c e > 1 3 9 0 5 < / B a l a n c e >  
                 < / A c c o u n t B a l a n c e >  
                 < A c c o u n t B a l a n c e >  
                     < F i e l d N a m e > P r i o r P e r i o d 3 B a l a n c e < / F i e l d N a m e >  
                     < B a l a n c e > - 7 1 2 8 0 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 - 7 3 7 9 8 6 8 2 0 0 9 9 9 9 9 8 5 2 0 < / I D >  
             < T a r g e t A c c o u n t I D > - 7 3 7 9 8 6 8 2 0 0 9 9 9 9 9 8 6 5 0 < / T a r g e t A c c o u n t I D >  
             < C h a r t I D > - 7 3 7 9 8 6 8 2 0 0 9 9 9 9 9 8 6 9 7 < / C h a r t I D >  
             < I s L i n k e d > f a l s e < / I s L i n k e d >  
             < N u m b e r > 0 4 0 1 0 0 3 0 0 0 0 1 < / N u m b e r >  
             < N a m e > C A P I T A L   G A I N   /   ( L O S S )   O N   S A L E   O F   P I B S < / N a m e >  
             < A J E > 0 < / A J E >  
             < A d j u s t > 1 5 7 < / A d j u s t >  
             < R J E > 0 < / R J E >  
             < P r e l i m i n a r y > 1 5 7 < / P r e l i m i n a r y >  
             < F i n a l > 1 5 7 < / F i n a l >  
         < / A c c o u n t S t o r a g e >  
         < A c c o u n t S t o r a g e >  
             < A c c o u n t B a l a n c e s >  
                 < A c c o u n t B a l a n c e >  
                     < F i e l d N a m e > P r i o r P e r i o d 1 B a l a n c e < / F i e l d N a m e >  
                     < B a l a n c e > 3 8 5 < / B a l a n c e >  
                 < / A c c o u n t B a l a n c e >  
                 < A c c o u n t B a l a n c e >  
                     < F i e l d N a m e > P r i o r P e r i o d 2 B a l a n c e < / F i e l d N a m e >  
                     < B a l a n c e > - 8 4 3 < / B a l a n c e >  
                 < / A c c o u n t B a l a n c e >  
                 < A c c o u n t B a l a n c e >  
                     < F i e l d N a m e > P r i o r P e r i o d 3 B a l a n c e < / F i e l d N a m e >  
                     < B a l a n c e > - 3 3 0 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 - 7 3 7 9 8 6 8 2 0 0 9 9 9 9 9 8 5 1 9 < / I D >  
             < T a r g e t A c c o u n t I D > - 7 3 7 9 8 6 8 2 0 0 9 9 9 9 9 8 6 5 0 < / T a r g e t A c c o u n t I D >  
             < C h a r t I D > - 7 3 7 9 8 6 8 2 0 0 9 9 9 9 9 8 6 9 7 < / C h a r t I D >  
             < I s L i n k e d > f a l s e < / I s L i n k e d >  
             < N u m b e r > 0 4 0 1 0 0 4 0 0 0 0 1 < / N u m b e r >  
             < N a m e > C A P I T A L   G A I N   /   ( L O S S )   O N   S A L E   O F   T - B I L L S < / N a m e >  
             < A J E > 0 < / A J E >  
             < A d j u s t > 9 < / A d j u s t >  
             < R J E > 0 < / R J E >  
             < P r e l i m i n a r y > 9 < / P r e l i m i n a r y >  
             < F i n a l > 9 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 2 4 7 7 8 1 8 0 9 3 5 0 0 0 0 0 0 9 4 < / I D >  
             < T a r g e t A c c o u n t I D > 2 4 7 1 7 0 1 8 2 8 3 0 0 0 0 0 1 3 6 < / T a r g e t A c c o u n t I D >  
             < C h a r t I D > - 7 3 7 9 8 6 8 2 0 0 9 9 9 9 9 8 6 9 7 < / C h a r t I D >  
             < I s L i n k e d > f a l s e < / I s L i n k e d >  
             < N u m b e r > 0 4 0 1 0 1 3 0 0 0 0 1 < / N u m b e r >  
             < N a m e > U R G   /   L O S S   F U T U R E   E Q U I T I E S   T R A N S A C T I O N S < / N a m e >  
             < A J E > 0 < / A J E >  
             < A d j u s t > 0 < / A d j u s t >  
             < R J E > 0 < / R J E >  
             < P r e l i m i n a r y > 0 < / P r e l i m i n a r y >  
             < F i n a l > 0 < / F i n a l >  
         < / A c c o u n t S t o r a g e >  
         < A c c o u n t S t o r a g e >  
             < A c c o u n t B a l a n c e s >  
                 < A c c o u n t B a l a n c e >  
                     < F i e l d N a m e > P r i o r P e r i o d 1 B a l a n c e < / F i e l d N a m e >  
                     < B a l a n c e > 1 4 9 4 1 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 2 4 7 1 7 0 1 8 2 8 3 0 0 0 0 0 1 1 1 < / I D >  
             < T a r g e t A c c o u n t I D > 2 4 7 1 7 0 1 8 2 8 3 0 0 0 0 0 1 3 6 < / T a r g e t A c c o u n t I D >  
             < C h a r t I D > - 7 3 7 9 8 6 8 2 0 0 9 9 9 9 9 8 6 9 7 < / C h a r t I D >  
             < I s L i n k e d > f a l s e < / I s L i n k e d >  
             < N u m b e r > 0 4 0 2 0 2 1 0 0 0 0 1 < / N u m b e r >  
             < N a m e > I n c o m e   O n   S p r e a d   T r a n s a c t i o n s < / N a m e >  
             < A J E > 0 < / A J E >  
             < A d j u s t > 1 6 4 6 < / A d j u s t >  
             < R J E > 0 < / R J E >  
             < P r e l i m i n a r y > 1 6 4 6 < / P r e l i m i n a r y >  
             < F i n a l > 1 6 4 6 < / F i n a l >  
         < / A c c o u n t S t o r a g e >  
         < A c c o u n t S t o r a g e >  
             < A c c o u n t B a l a n c e s >  
                 < A c c o u n t B a l a n c e >  
                     < F i e l d N a m e > P r i o r P e r i o d 1 B a l a n c e < / F i e l d N a m e >  
                     < B a l a n c e > - 3 4 4 1 1 < / B a l a n c e >  
                 < / A c c o u n t B a l a n c e >  
                 < A c c o u n t B a l a n c e >  
                     < F i e l d N a m e > P r i o r P e r i o d 2 B a l a n c e < / F i e l d N a m e >  
                     < B a l a n c e > - 2 4 3 4 7 < / B a l a n c e >  
                 < / A c c o u n t B a l a n c e >  
                 < A c c o u n t B a l a n c e >  
                     < F i e l d N a m e > P r i o r P e r i o d 3 B a l a n c e < / F i e l d N a m e >  
                     < B a l a n c e > - 3 1 6 5 2 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 - 7 3 7 9 8 6 8 2 0 0 9 9 9 9 9 8 5 0 8 < / I D >  
             < T a r g e t A c c o u n t I D > - 7 3 7 9 8 6 8 2 0 0 9 9 9 9 9 8 6 4 8 < / T a r g e t A c c o u n t I D >  
             < C h a r t I D > - 7 3 7 9 8 6 8 2 0 0 9 9 9 9 9 8 6 9 7 < / C h a r t I D >  
             < I s L i n k e d > f a l s e < / I s L i n k e d >  
             < N u m b e r > 0 4 0 2 0 0 3 0 0 0 0 1 < / N u m b e r >  
             < N a m e > I N C O M E   O N   T F C < / N a m e >  
             < A J E > 0 < / A J E >  
             < A d j u s t > - 4 4 4 4 0 < / A d j u s t >  
             < R J E > 0 < / R J E >  
             < P r e l i m i n a r y > - 4 4 4 4 0 < / P r e l i m i n a r y >  
             < F i n a l > - 4 4 4 4 0 < / F i n a l >  
         < / A c c o u n t S t o r a g e >  
         < A c c o u n t S t o r a g e >  
             < A c c o u n t B a l a n c e s >  
                 < A c c o u n t B a l a n c e >  
                     < F i e l d N a m e > P r i o r P e r i o d 1 B a l a n c e < / F i e l d N a m e >  
                     < B a l a n c e > - 1 5 3 5 < / B a l a n c e >  
                 < / A c c o u n t B a l a n c e >  
                 < A c c o u n t B a l a n c e >  
                     < F i e l d N a m e > P r i o r P e r i o d 2 B a l a n c e < / F i e l d N a m e >  
                     < B a l a n c e > - 1 5 < / B a l a n c e >  
                 < / A c c o u n t B a l a n c e >  
                 < A c c o u n t B a l a n c e >  
                     < F i e l d N a m e > P r i o r P e r i o d 3 B a l a n c e < / F i e l d N a m e >  
                     < B a l a n c e > - 9 6 3 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 - 7 3 7 9 8 6 8 2 0 0 9 9 9 9 9 8 5 0 7 < / I D >  
             < T a r g e t A c c o u n t I D > - 7 3 7 9 8 6 8 2 0 0 9 9 9 9 9 8 6 4 8 < / T a r g e t A c c o u n t I D >  
             < C h a r t I D > - 7 3 7 9 8 6 8 2 0 0 9 9 9 9 9 8 6 9 7 < / C h a r t I D >  
             < I s L i n k e d > f a l s e < / I s L i n k e d >  
             < N u m b e r > 0 4 0 2 0 0 3 0 0 0 0 2 < / N u m b e r >  
             < N a m e > I N C O M E   O N   T F C < / N a m e >  
             < A J E > 0 < / A J E >  
             < A d j u s t > 0 < / A d j u s t >  
             < R J E > 0 < / R J E >  
             < P r e l i m i n a r y > 0 < / P r e l i m i n a r y >  
             < F i n a l > 0 < / F i n a l >  
         < / A c c o u n t S t o r a g e >  
         < A c c o u n t S t o r a g e >  
             < A c c o u n t B a l a n c e s >  
                 < A c c o u n t B a l a n c e >  
                     < F i e l d N a m e > P r i o r P e r i o d 1 B a l a n c e < / F i e l d N a m e >  
                     < B a l a n c e > - 2 4 9 9 < / B a l a n c e >  
                 < / A c c o u n t B a l a n c e >  
                 < A c c o u n t B a l a n c e >  
                     < F i e l d N a m e > P r i o r P e r i o d 2 B a l a n c e < / F i e l d N a m e >  
                     < B a l a n c e > - 5 0 9 6 < / B a l a n c e >  
                 < / A c c o u n t B a l a n c e >  
                 < A c c o u n t B a l a n c e >  
                     < F i e l d N a m e > P r i o r P e r i o d 3 B a l a n c e < / F i e l d N a m e >  
                     < B a l a n c e > - 4 2 0 3 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 - 7 3 7 9 8 6 8 2 0 0 9 9 9 9 9 8 5 0 5 < / I D >  
             < T a r g e t A c c o u n t I D > - 7 3 7 9 8 6 8 2 0 0 9 9 9 9 9 8 6 4 8 < / T a r g e t A c c o u n t I D >  
             < C h a r t I D > - 7 3 7 9 8 6 8 2 0 0 9 9 9 9 9 8 6 9 7 < / C h a r t I D >  
             < I s L i n k e d > f a l s e < / I s L i n k e d >  
             < N u m b e r > 0 4 0 2 0 1 4 0 0 0 0 1 < / N u m b e r >  
             < N a m e > A M O R T I Z A T I O N   /   D I S C O U N T   O N   D E B T   S E C U R I T I E S   -   T F C < / N a m e >  
             < A J E > 0 < / A J E >  
             < A d j u s t > 2 < / A d j u s t >  
             < R J E > 0 < / R J E >  
             < P r e l i m i n a r y > 2 < / P r e l i m i n a r y >  
             < F i n a l > 2 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 1 8 7 6 < / 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 - 7 3 7 9 8 6 8 2 0 0 9 9 9 9 9 8 4 3 2 < / I D >  
             < T a r g e t A c c o u n t I D > - 7 3 7 9 8 6 8 2 0 0 9 9 9 9 9 8 6 4 8 < / T a r g e t A c c o u n t I D >  
             < C h a r t I D > - 7 3 7 9 8 6 8 2 0 0 9 9 9 9 9 8 6 9 7 < / C h a r t I D >  
             < I s L i n k e d > f a l s e < / I s L i n k e d >  
             < N u m b e r > 0 4 0 7 0 0 2 0 0 1 < / N u m b e r >  
             < N a m e > P r o v i s i o n   A g a i n s t   D e b t   S e c u r i t i e s     A c c r u e d   M a r k u p < / N a m e >  
             < A J E > 0 < / A J E >  
             < A d j u s t > 0 < / A d j u s t >  
             < R J E > 0 < / R J E >  
             < P r e l i m i n a r y > 0 < / P r e l i m i n a r y >  
             < F i n a l > 0 < / F i n a l >  
         < / A c c o u n t S t o r a g e >  
         < A c c o u n t S t o r a g e >  
             < A c c o u n t B a l a n c e s >  
                 < A c c o u n t B a l a n c e >  
                     < F i e l d N a m e > P r i o r P e r i o d 1 B a l a n c e < / F i e l d N a m e >  
                     < B a l a n c e > 4 6 8 < / B a l a n c e >  
                 < / A c c o u n t B a l a n c e >  
                 < A c c o u n t B a l a n c e >  
                     < F i e l d N a m e > P r i o r P e r i o d 2 B a l a n c e < / F i e l d N a m e >  
                     < B a l a n c e > 7 < / B a l a n c e >  
                 < / A c c o u n t B a l a n c e >  
                 < A c c o u n t B a l a n c e >  
                     < F i e l d N a m e > P r i o r P e r i o d 3 B a l a n c e < / F i e l d N a m e >  
                     < B a l a n c e > 4 3 4 1 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 - 7 3 7 9 8 6 8 2 0 0 9 9 9 9 9 8 4 6 1 < / I D >  
             < T a r g e t A c c o u n t I D > - 7 3 7 9 8 6 8 2 0 0 9 9 9 9 9 8 6 4 8 < / T a r g e t A c c o u n t I D >  
             < C h a r t I D > - 7 3 7 9 8 6 8 2 0 0 9 9 9 9 9 8 6 9 7 < / C h a r t I D >  
             < I s L i n k e d > f a l s e < / I s L i n k e d >  
             < N u m b e r > 0 5 0 4 0 0 2 0 0 0 0 1 < / N u m b e r >  
             < N a m e > P R O V I S I O N   A G A I N S T   D E B T   S E C U R I T I E S     A C C R U E D   M A R K U P < / N a m e >  
             < A J E > 0 < / A J E >  
             < A d j u s t > 0 < / A d j u s t >  
             < R J E > 0 < / R J E >  
             < P r e l i m i n a r y > 0 < / P r e l i m i n a r y >  
             < F i n a l > 0 < / F i n a l >  
         < / A c c o u n t S t o r a g e >  
         < A c c o u n t S t o r a g e >  
             < A c c o u n t B a l a n c e s >  
                 < A c c o u n t B a l a n c e >  
                     < F i e l d N a m e > P r i o r P e r i o d 1 B a l a n c e < / F i e l d N a m e >  
                     < B a l a n c e > - 3 5 2 1 1 < / B a l a n c e >  
                 < / A c c o u n t B a l a n c e >  
                 < A c c o u n t B a l a n c e >  
                     < F i e l d N a m e > P r i o r P e r i o d 2 B a l a n c e < / F i e l d N a m e >  
                     < B a l a n c e > - 1 9 8 4 9 0 < / B a l a n c e >  
                 < / A c c o u n t B a l a n c e >  
                 < A c c o u n t B a l a n c e >  
                     < F i e l d N a m e > P r i o r P e r i o d 3 B a l a n c e < / F i e l d N a m e >  
                     < B a l a n c e > - 1 1 4 9 6 4 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 - 7 3 7 9 8 6 8 2 0 0 9 9 9 9 9 8 5 0 6 < / I D >  
             < T a r g e t A c c o u n t I D > - 7 3 7 9 8 6 8 2 0 0 9 9 9 9 9 8 6 4 7 < / T a r g e t A c c o u n t I D >  
             < C h a r t I D > - 7 3 7 9 8 6 8 2 0 0 9 9 9 9 9 8 6 9 7 < / C h a r t I D >  
             < I s L i n k e d > f a l s e < / I s L i n k e d >  
             < N u m b e r > 0 4 0 2 0 0 4 0 0 0 0 1 < / N u m b e r >  
             < N a m e > I N C O M E   O N   G O V T   S E C T Y   P I B S < / N a m e >  
             < A J E > 0 < / A J E >  
             < A d j u s t > - 1 6 7 1 < / A d j u s t >  
             < R J E > 0 < / R J E >  
             < P r e l i m i n a r y > - 1 6 7 1 < / P r e l i m i n a r y >  
             < F i n a l > - 1 6 7 1 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 2 7 9 9 2 7 4 6 8 9 4 0 0 0 0 0 0 3 0 < / I D >  
             < T a r g e t A c c o u n t I D > - 7 3 7 9 8 6 8 2 0 0 9 9 9 9 9 8 6 4 7 < / T a r g e t A c c o u n t I D >  
             < C h a r t I D > - 7 3 7 9 8 6 8 2 0 0 9 9 9 9 9 8 6 9 7 < / C h a r t I D >  
             < I s L i n k e d > f a l s e < / I s L i n k e d >  
             < N u m b e r > 0 4 0 2 0 1 2 0 0 0 0 1 < / N u m b e r >  
             < N a m e > I N C O M E   O N   C O M M E R C I A L   P A P E R S < / N a m e >  
             < A J E > 0 < / A J E >  
             < A d j u s t > - 4 7 7 8 < / A d j u s t >  
             < R J E > 0 < / R J E >  
             < P r e l i m i n a r y > - 4 7 7 8 < / P r e l i m i n a r y >  
             < F i n a l > - 4 7 7 8 < / F i n a l >  
         < / A c c o u n t S t o r a g e >  
         < A c c o u n t S t o r a g e >  
             < A c c o u n t B a l a n c e s >  
                 < A c c o u n t B a l a n c e >  
                     < F i e l d N a m e > P r i o r P e r i o d 1 B a l a n c e < / F i e l d N a m e >  
                     < B a l a n c e > 8 5 4 4 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 2 4 7 1 7 0 1 8 2 8 3 0 0 0 0 0 1 0 9 < / I D >  
             < T a r g e t A c c o u n t I D > - 7 3 7 9 8 6 8 2 0 0 9 9 9 9 9 8 6 4 7 < / T a r g e t A c c o u n t I D >  
             < C h a r t I D > - 7 3 7 9 8 6 8 2 0 0 9 9 9 9 9 8 6 9 7 < / C h a r t I D >  
             < I s L i n k e d > f a l s e < / I s L i n k e d >  
             < N u m b e r > 0 4 0 2 0 1 5 0 0 0 0 2 < / N u m b e r >  
             < N a m e > D i s c o u n t   I n c o m e   O n   G o v t   S e c u r i t y   P i b s < / N a m e >  
             < A J E > 0 < / A J E >  
             < A d j u s t > 3 1 3 < / A d j u s t >  
             < R J E > 0 < / R J E >  
             < P r e l i m i n a r y > 3 1 3 < / P r e l i m i n a r y >  
             < F i n a l > 3 1 3 < / F i n a l >  
         < / A c c o u n t S t o r a g e >  
         < A c c o u n t S t o r a g e >  
             < A c c o u n t B a l a n c e s >  
                 < A c c o u n t B a l a n c e >  
                     < F i e l d N a m e > P r i o r P e r i o d 1 B a l a n c e < / F i e l d N a m e >  
                     < B a l a n c e > - 1 0 4 1 3 < / B a l a n c e >  
                 < / A c c o u n t B a l a n c e >  
                 < A c c o u n t B a l a n c e >  
                     < F i e l d N a m e > P r i o r P e r i o d 2 B a l a n c e < / F i e l d N a m e >  
                     < B a l a n c e > - 3 2 6 4 9 < / B a l a n c e >  
                 < / A c c o u n t B a l a n c e >  
                 < A c c o u n t B a l a n c e >  
                     < F i e l d N a m e > P r i o r P e r i o d 3 B a l a n c e < / F i e l d N a m e >  
                     < B a l a n c e > - 1 3 4 2 3 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 - 7 3 7 9 8 6 8 2 0 0 9 9 9 9 9 8 5 0 4 < / I D >  
             < T a r g e t A c c o u n t I D > - 7 3 7 9 8 6 8 2 0 0 9 9 9 9 9 8 6 4 7 < / T a r g e t A c c o u n t I D >  
             < C h a r t I D > - 7 3 7 9 8 6 8 2 0 0 9 9 9 9 9 8 6 9 7 < / C h a r t I D >  
             < I s L i n k e d > f a l s e < / I s L i n k e d >  
             < N u m b e r > 0 4 0 2 0 1 6 0 0 0 0 1 < / N u m b e r >  
             < N a m e > A M O R T I Z A T I O N   /   D I S C O U N T   O N   G O V T   S E C   B I L L S S < / N a m e >  
             < A J E > 0 < / A J E >  
             < A d j u s t > - 2 9 6 8 < / A d j u s t >  
             < R J E > 0 < / R J E >  
             < P r e l i m i n a r y > - 2 9 6 8 < / P r e l i m i n a r y >  
             < F i n a l > - 2 9 6 8 < / F i n a l >  
         < / A c c o u n t S t o r a g e >  
         < A c c o u n t S t o r a g e >  
             < A c c o u n t B a l a n c e s >  
                 < A c c o u n t B a l a n c e >  
                     < F i e l d N a m e > P r i o r P e r i o d 1 B a l a n c e < / F i e l d N a m e >  
                     < B a l a n c e > - 4 5 1 5 < / 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 2 4 7 1 7 0 1 8 2 8 3 0 0 0 0 0 1 1 0 < / I D >  
             < T a r g e t A c c o u n t I D > - 7 3 7 9 8 6 8 2 0 0 9 9 9 9 9 8 6 4 7 < / T a r g e t A c c o u n t I D >  
             < C h a r t I D > - 7 3 7 9 8 6 8 2 0 0 9 9 9 9 9 8 6 9 7 < / C h a r t I D >  
             < I s L i n k e d > f a l s e < / I s L i n k e d >  
             < N u m b e r > 0 4 0 2 0 1 9 0 0 0 0 1 < / N u m b e r >  
             < N a m e > A M O R T I Z A T I O N   /   D I S C O U N T   O N   C O M M E R C I A L   P A P E R S < / N a m e >  
             < A J E > 0 < / A J E >  
             < A d j u s t > - 1 0 1 3 3 < / A d j u s t >  
             < R J E > 0 < / R J E >  
             < P r e l i m i n a r y > - 1 0 1 3 3 < / P r e l i m i n a r y >  
             < F i n a l > - 1 0 1 3 3 < / 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 2 4 7 1 7 0 1 8 2 8 3 0 0 0 0 0 1 1 5 < / I D >  
             < T a r g e t A c c o u n t I D > - 7 3 7 9 8 6 8 2 0 0 9 9 9 9 9 8 6 4 7 < / T a r g e t A c c o u n t I D >  
             < C h a r t I D > - 7 3 7 9 8 6 8 2 0 0 9 9 9 9 9 8 6 9 7 < / C h a r t I D >  
             < I s L i n k e d > f a l s e < / I s L i n k e d >  
             < N u m b e r > 0 5 0 3 0 0 3 0 0 0 4 < / N u m b e r >  
             < N a m e > P r e m i u m   A m o r t i z a t i o n   O f   P i b s < / N a m e >  
             < A J E > 0 < / A J E >  
             < A d j u s t > 0 < / A d j u s t >  
             < R J E > 0 < / R J E >  
             < P r e l i m i n a r y > 0 < / P r e l i m i n a r y >  
             < F i n a l > 0 < / F i n a l >  
         < / A c c o u n t S t o r a g e >  
         < A c c o u n t S t o r a g e >  
             < A c c o u n t B a l a n c e s >  
                 < A c c o u n t B a l a n c e >  
                     < F i e l d N a m e > P r i o r P e r i o d 1 B a l a n c e < / F i e l d N a m e >  
                     < B a l a n c e > - 2 4 9 1 2 < / B a l a n c e >  
                 < / A c c o u n t B a l a n c e >  
                 < A c c o u n t B a l a n c e >  
                     < F i e l d N a m e > P r i o r P e r i o d 2 B a l a n c e < / F i e l d N a m e >  
                     < B a l a n c e > - 1 0 3 9 7 < / B a l a n c e >  
                 < / A c c o u n t B a l a n c e >  
                 < A c c o u n t B a l a n c e >  
                     < F i e l d N a m e > P r i o r P e r i o d 3 B a l a n c e < / F i e l d N a m e >  
                     < B a l a n c e > - 1 9 3 3 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 - 7 3 7 9 8 6 8 2 0 0 9 9 9 9 9 8 4 7 4 < / I D >  
             < T a r g e t A c c o u n t I D > - 7 3 7 9 8 6 8 2 0 0 9 9 9 9 9 8 6 4 5 < / T a r g e t A c c o u n t I D >  
             < C h a r t I D > - 7 3 7 9 8 6 8 2 0 0 9 9 9 9 9 8 6 9 7 < / C h a r t I D >  
             < I s L i n k e d > f a l s e < / I s L i n k e d >  
             < N u m b e r > 0 4 0 2 0 0 2 0 0 0 0 1 < / N u m b e r >  
             < N a m e > R E T U R N   O N   T E R M   D E P O S I T   A C C O U N T S < / N a m e >  
             < A J E > 0 < / A J E >  
             < A d j u s t > - 1 2 3 0 6 < / A d j u s t >  
             < R J E > 0 < / R J E >  
             < P r e l i m i n a r y > - 1 2 3 0 6 < / P r e l i m i n a r y >  
             < F i n a l > - 1 2 3 0 6 < / F i n a l >  
         < / A c c o u n t S t o r a g e >  
         < A c c o u n t S t o r a g e >  
             < A c c o u n t B a l a n c e s >  
                 < A c c o u n t B a l a n c e >  
                     < F i e l d N a m e > P r i o r P e r i o d 1 B a l a n c e < / F i e l d N a m e >  
                     < B a l a n c e > - 2 6 7 < / B a l a n c e >  
                 < / A c c o u n t B a l a n c e >  
                 < A c c o u n t B a l a n c e >  
                     < F i e l d N a m e > P r i o r P e r i o d 2 B a l a n c e < / F i e l d N a m e >  
                     < B a l a n c e > - 2 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 - 7 3 7 9 8 6 8 2 0 0 9 9 9 9 9 8 4 6 4 < / I D >  
             < T a r g e t A c c o u n t I D > - 7 3 7 9 8 6 8 2 0 0 9 9 9 9 9 8 6 4 4 < / T a r g e t A c c o u n t I D >  
             < C h a r t I D > - 7 3 7 9 8 6 8 2 0 0 9 9 9 9 9 8 6 9 7 < / C h a r t I D >  
             < I s L i n k e d > f a l s e < / I s L i n k e d >  
             < N u m b e r > 0 4 0 3 0 0 1 0 0 0 0 1 < / N u m b e r >  
             < N a m e > I N C O M E   O N   N C C P L   D E P O S I T   A G A I N S T   E X P O S U R E   M A R G I N < / N a m e >  
             < A J E > 0 < / A J E >  
             < A d j u s t > - 7 9 8 < / A d j u s t >  
             < R J E > 0 < / R J E >  
             < P r e l i m i n a r y > - 7 9 8 < / P r e l i m i n a r y >  
             < F i n a l > - 7 9 8 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 - 2 2 5 < / B a l a n c e >  
                 < / A c c o u n t B a l a n c e >  
                 < A c c o u n t B a l a n c e >  
                     < F i e l d N a m e > P r i o r P e r i o d 3 B a l a n c e < / F i e l d N a m e >  
                     < B a l a n c e > - 2 5 0 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 - 7 3 7 9 8 6 8 2 0 0 9 9 9 9 9 8 5 0 3 < / I D >  
             < T a r g e t A c c o u n t I D > - 7 3 7 9 8 6 8 2 0 0 9 9 9 9 9 8 4 3 6 < / T a r g e t A c c o u n t I D >  
             < C h a r t I D > - 7 3 7 9 8 6 8 2 0 0 9 9 9 9 9 8 6 9 7 < / C h a r t I D >  
             < I s L i n k e d > f a l s e < / I s L i n k e d >  
             < N u m b e r > 0 4 0 3 0 0 3 0 0 0 0 1 < / N u m b e r >  
             < N a m e > O T H E R   I N C O M E < / N a m e >  
             < A J E > 0 < / A J E >  
             < A d j u s t > 0 < / A d j u s t >  
             < R J E > 0 < / R J E >  
             < P r e l i m i n a r y > 0 < / P r e l i m i n a r y >  
             < F i n a l > 0 < / F i n a l >  
         < / A c c o u n t S t o r a g e >  
         < A c c o u n t S t o r a g e >  
             < A c c o u n t B a l a n c e s >  
                 < A c c o u n t B a l a n c e >  
                     < F i e l d N a m e > P r i o r P e r i o d 1 B a l a n c e < / F i e l d N a m e >  
                     < B a l a n c e > - 1 5 0 8 1 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 2 4 7 1 7 0 1 8 2 8 3 0 0 0 0 0 1 1 2 < / I D >  
             < T a r g e t A c c o u n t I D > - 7 3 7 9 8 6 8 2 0 0 9 9 9 9 9 8 4 3 6 < / T a r g e t A c c o u n t I D >  
             < C h a r t I D > - 7 3 7 9 8 6 8 2 0 0 9 9 9 9 9 8 6 9 7 < / C h a r t I D >  
             < I s L i n k e d > f a l s e < / I s L i n k e d >  
             < N u m b e r > 0 4 0 8 0 0 9 0 0 0 9 < / N u m b e r >  
             < N a m e > M a r k u p   I n c o m e   O n   M t s < / N a m e >  
             < A J E > 0 < / A J E >  
             < A d j u s t > - 1 1 3 5 7 < / A d j u s t >  
             < R J E > 0 < / R J E >  
             < P r e l i m i n a r y > - 1 1 3 5 7 < / P r e l i m i n a r y >  
             < F i n a l > - 1 1 3 5 7 < / F i n a l >  
         < / A c c o u n t S t o r a g e >  
         < A c c o u n t S t o r a g e >  
             < A c c o u n t B a l a n c e s >  
                 < A c c o u n t B a l a n c e >  
                     < F i e l d N a m e > P r i o r P e r i o d 1 B a l a n c e < / F i e l d N a m e >  
                     < B a l a n c e > - 8 5 4 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 2 4 7 1 7 0 1 8 2 8 3 0 0 0 0 0 1 0 0 < / I D >  
             < T a r g e t A c c o u n t I D > - 7 3 7 9 8 6 8 2 0 0 9 9 9 9 9 8 6 4 3 < / T a r g e t A c c o u n t I D >  
             < C h a r t I D > - 7 3 7 9 8 6 8 2 0 0 9 9 9 9 9 8 6 9 7 < / C h a r t I D >  
             < I s L i n k e d > f a l s e < / I s L i n k e d >  
             < N u m b e r > 0 4 0 2 0 0 1 0 0 0 0 1 < / N u m b e r >  
             < N a m e > P R O F I T   O N   -   A L L I E D   B A N K   L I M I T E D   -   F O R E I G N   E X C H A N G E   B R A N C H < / N a m e >  
             < A J E > 0 < / A J E >  
             < A d j u s t > - 3 0 1 4 < / A d j u s t >  
             < R J E > 0 < / R J E >  
             < P r e l i m i n a r y > - 3 0 1 4 < / P r e l i m i n a r y >  
             < F i n a l > - 3 0 1 4 < / F i n a l >  
         < / A c c o u n t S t o r a g e >  
         < A c c o u n t S t o r a g e >  
             < A c c o u n t B a l a n c e s >  
                 < A c c o u n t B a l a n c e >  
                     < F i e l d N a m e > P r i o r P e r i o d 1 B a l a n c e < / F i e l d N a m e >  
                     < B a l a n c e > - 4 7 5 7 < / B a l a n c e >  
                 < / A c c o u n t B a l a n c e >  
                 < A c c o u n t B a l a n c e >  
                     < F i e l d N a m e > P r i o r P e r i o d 2 B a l a n c e < / F i e l d N a m e >  
                     < B a l a n c e > - 2 8 8 8 < / B a l a n c e >  
                 < / A c c o u n t B a l a n c e >  
                 < A c c o u n t B a l a n c e >  
                     < F i e l d N a m e > P r i o r P e r i o d 3 B a l a n c e < / F i e l d N a m e >  
                     < B a l a n c e > - 5 3 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 - 7 3 7 9 8 6 8 2 0 0 9 9 9 9 9 8 5 1 5 < / I D >  
             < T a r g e t A c c o u n t I D > - 7 3 7 9 8 6 8 2 0 0 9 9 9 9 9 8 6 4 3 < / T a r g e t A c c o u n t I D >  
             < C h a r t I D > - 7 3 7 9 8 6 8 2 0 0 9 9 9 9 9 8 6 9 7 < / C h a r t I D >  
             < I s L i n k e d > f a l s e < / I s L i n k e d >  
             < N u m b e r > 0 4 0 2 0 0 1 0 0 0 0 5 < / N u m b e r >  
             < N a m e > P R O F I T   O N   -   B A N K   A L   F A L A H   L I M I T E D     -   K S E   B R A N C H < / N a m e >  
             < A J E > 0 < / A J E >  
             < A d j u s t > - 1 3 3 9 < / A d j u s t >  
             < R J E > 0 < / R J E >  
             < P r e l i m i n a r y > - 1 3 3 9 < / P r e l i m i n a r y >  
             < F i n a l > - 1 3 3 9 < / F i n a l >  
         < / A c c o u n t S t o r a g e >  
         < A c c o u n t S t o r a g e >  
             < A c c o u n t B a l a n c e s >  
                 < A c c o u n t B a l a n c e >  
                     < F i e l d N a m e > P r i o r P e r i o d 1 B a l a n c e < / F i e l d N a m e >  
                     < B a l a n c e > - 1 4 7 < / B a l a n c e >  
                 < / A c c o u n t B a l a n c e >  
                 < A c c o u n t B a l a n c e >  
                     < F i e l d N a m e > P r i o r P e r i o d 2 B a l a n c e < / F i e l d N a m e >  
                     < B a l a n c e > - 4 5 1 < / B a l a n c e >  
                 < / A c c o u n t B a l a n c e >  
                 < A c c o u n t B a l a n c e >  
                     < F i e l d N a m e > P r i o r P e r i o d 3 B a l a n c e < / F i e l d N a m e >  
                     < B a l a n c e > - 5 8 0 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 - 7 3 7 9 8 6 8 2 0 0 9 9 9 9 9 8 5 1 4 < / I D >  
             < T a r g e t A c c o u n t I D > - 7 3 7 9 8 6 8 2 0 0 9 9 9 9 9 8 6 4 3 < / T a r g e t A c c o u n t I D >  
             < C h a r t I D > - 7 3 7 9 8 6 8 2 0 0 9 9 9 9 9 8 6 9 7 < / C h a r t I D >  
             < I s L i n k e d > f a l s e < / I s L i n k e d >  
             < N u m b e r > 0 4 0 2 0 0 1 0 0 0 1 1 < / N u m b e r >  
             < N a m e > P r o f i t   O n   -   F a y s a l   B a n k   L i m i t e d   -   G u l s h a n   E   I q b a l   B r a n c h < / N a m e >  
             < A J E > 0 < / A J E >  
             < A d j u s t > - 2 6 7 < / A d j u s t >  
             < R J E > 0 < / R J E >  
             < P r e l i m i n a r y > - 2 6 7 < / P r e l i m i n a r y >  
             < F i n a l > - 2 6 7 < / F i n a l >  
         < / A c c o u n t S t o r a g e >  
         < A c c o u n t S t o r a g e >  
             < A c c o u n t B a l a n c e s >  
                 < A c c o u n t B a l a n c e >  
                     < F i e l d N a m e > P r i o r P e r i o d 1 B a l a n c e < / F i e l d N a m e >  
                     < B a l a n c e > - 1 1 7 8 < / B a l a n c e >  
                 < / A c c o u n t B a l a n c e >  
                 < A c c o u n t B a l a n c e >  
                     < F i e l d N a m e > P r i o r P e r i o d 2 B a l a n c e < / F i e l d N a m e >  
                     < B a l a n c e > - 2 3 4 < / B a l a n c e >  
                 < / A c c o u n t B a l a n c e >  
                 < A c c o u n t B a l a n c e >  
                     < F i e l d N a m e > P r i o r P e r i o d 3 B a l a n c e < / F i e l d N a m e >  
                     < B a l a n c e > - 2 9 9 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 - 7 3 7 9 8 6 8 2 0 0 9 9 9 9 9 8 5 1 3 < / I D >  
             < T a r g e t A c c o u n t I D > - 7 3 7 9 8 6 8 2 0 0 9 9 9 9 9 8 6 4 3 < / T a r g e t A c c o u n t I D >  
             < C h a r t I D > - 7 3 7 9 8 6 8 2 0 0 9 9 9 9 9 8 6 9 7 < / C h a r t I D >  
             < I s L i n k e d > f a l s e < / I s L i n k e d >  
             < N u m b e r > 0 4 0 2 0 0 1 0 0 0 1 4 < / N u m b e r >  
             < N a m e > P r o f i t   O n   -   H a b i b   M e t r o p o l i t a n   B a n k   L i m i t e d   -   K a r a c h i   S t o c k   E x c h a n g e   B r a n c h < / N a m e >  
             < A J E > 0 < / A J E >  
             < A d j u s t > - 1 0 2 3 < / A d j u s t >  
             < R J E > 0 < / R J E >  
             < P r e l i m i n a r y > - 1 0 2 3 < / P r e l i m i n a r y >  
             < F i n a l > - 1 0 2 3 < / F i n a l >  
         < / A c c o u n t S t o r a g e >  
         < A c c o u n t S t o r a g e >  
             < A c c o u n t B a l a n c e s >  
                 < A c c o u n t B a l a n c e >  
                     < F i e l d N a m e > P r i o r P e r i o d 1 B a l a n c e < / F i e l d N a m e >  
                     < B a l a n c e > - 2 9 4 < / B a l a n c e >  
                 < / A c c o u n t B a l a n c e >  
                 < A c c o u n t B a l a n c e >  
                     < F i e l d N a m e > P r i o r P e r i o d 2 B a l a n c e < / F i e l d N a m e >  
                     < B a l a n c e > - 2 3 6 < / B a l a n c e >  
                 < / A c c o u n t B a l a n c e >  
                 < A c c o u n t B a l a n c e >  
                     < F i e l d N a m e > P r i o r P e r i o d 3 B a l a n c e < / F i e l d N a m e >  
                     < B a l a n c e > - 1 5 3 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 - 7 3 7 9 8 6 8 2 0 0 9 9 9 9 9 8 5 1 2 < / I D >  
             < T a r g e t A c c o u n t I D > - 7 3 7 9 8 6 8 2 0 0 9 9 9 9 9 8 6 4 3 < / T a r g e t A c c o u n t I D >  
             < C h a r t I D > - 7 3 7 9 8 6 8 2 0 0 9 9 9 9 9 8 6 9 7 < / C h a r t I D >  
             < I s L i n k e d > f a l s e < / I s L i n k e d >  
             < N u m b e r > 0 4 0 2 0 0 1 0 0 0 1 5 < / N u m b e r >  
             < N a m e > P r o f i t   O n   -   H a b i b   M e t r o p o l i t a n   B a n k   L i m i t e d   -   M a i n   B r a n c h < / N a m e >  
             < A J E > 0 < / A J E >  
             < A d j u s t > - 4 9 < / A d j u s t >  
             < R J E > 0 < / R J E >  
             < P r e l i m i n a r y > - 4 9 < / P r e l i m i n a r y >  
             < F i n a l > - 4 9 < / F i n a l >  
         < / A c c o u n t S t o r a g e >  
         < A c c o u n t S t o r a g e >  
             < A c c o u n t B a l a n c e s >  
                 < A c c o u n t B a l a n c e >  
                     < F i e l d N a m e > P r i o r P e r i o d 1 B a l a n c e < / F i e l d N a m e >  
                     < B a l a n c e > - 3 3 0 < / B a l a n c e >  
                 < / A c c o u n t B a l a n c e >  
                 < A c c o u n t B a l a n c e >  
                     < F i e l d N a m e > P r i o r P e r i o d 2 B a l a n c e < / F i e l d N a m e >  
                     < B a l a n c e > - 1 4 7 5 < / B a l a n c e >  
                 < / A c c o u n t B a l a n c e >  
                 < A c c o u n t B a l a n c e >  
                     < F i e l d N a m e > P r i o r P e r i o d 3 B a l a n c e < / F i e l d N a m e >  
                     < B a l a n c e > - 1 9 6 1 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 - 7 3 7 9 8 6 8 2 0 0 9 9 9 9 9 8 5 1 1 < / I D >  
             < T a r g e t A c c o u n t I D > - 7 3 7 9 8 6 8 2 0 0 9 9 9 9 9 8 6 4 3 < / T a r g e t A c c o u n t I D >  
             < C h a r t I D > - 7 3 7 9 8 6 8 2 0 0 9 9 9 9 9 8 6 9 7 < / C h a r t I D >  
             < I s L i n k e d > f a l s e < / I s L i n k e d >  
             < N u m b e r > 0 4 0 2 0 0 1 0 0 0 1 7 < / N u m b e r >  
             < N a m e > P r o f i t   O n   -   M c b   B a n k   L i m i t e d   -   U n i   T o w e r   B r a n c h < / N a m e >  
             < A J E > 0 < / A J E >  
             < A d j u s t > - 5 1 < / A d j u s t >  
             < R J E > 0 < / R J E >  
             < P r e l i m i n a r y > - 5 1 < / P r e l i m i n a r y >  
             < F i n a l > - 5 1 < / F i n a l >  
         < / A c c o u n t S t o r a g e >  
         < A c c o u n t S t o r a g e >  
             < A c c o u n t B a l a n c e s >  
                 < A c c o u n t B a l a n c e >  
                     < F i e l d N a m e > P r i o r P e r i o d 1 B a l a n c e < / F i e l d N a m e >  
                     < B a l a n c e > - 3 9 2 < / 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 - 7 3 7 9 8 6 8 2 0 0 9 9 9 9 9 8 4 5 1 < / I D >  
             < T a r g e t A c c o u n t I D > - 7 3 7 9 8 6 8 2 0 0 9 9 9 9 9 8 6 4 3 < / T a r g e t A c c o u n t I D >  
             < C h a r t I D > - 7 3 7 9 8 6 8 2 0 0 9 9 9 9 9 8 6 9 7 < / C h a r t I D >  
             < I s L i n k e d > f a l s e < / I s L i n k e d >  
             < N u m b e r > 0 4 0 2 0 0 1 0 0 0 2 1 < / N u m b e r >  
             < N a m e > P r o f i t   O n   -   M c b   B a n k   L i m i t e d   -   S h a h e e n   C o m p l e x   B r a n c h < / N a m e >  
             < A J E > 0 < / A J E >  
             < A d j u s t > 0 < / A d j u s t >  
             < R J E > 0 < / R J E >  
             < P r e l i m i n a r y > 0 < / P r e l i m i n a r y >  
             < F i n a l > 0 < / F i n a l >  
         < / A c c o u n t S t o r a g e >  
         < A c c o u n t S t o r a g e >  
             < A c c o u n t B a l a n c e s >  
                 < A c c o u n t B a l a n c e >  
                     < F i e l d N a m e > P r i o r P e r i o d 1 B a l a n c e < / F i e l d N a m e >  
                     < B a l a n c e > - 5 3 < / B a l a n c e >  
                 < / A c c o u n t B a l a n c e >  
                 < A c c o u n t B a l a n c e >  
                     < F i e l d N a m e > P r i o r P e r i o d 2 B a l a n c e < / F i e l d N a m e >  
                     < B a l a n c e > - 1 4 4 8 1 < / B a l a n c e >  
                 < / A c c o u n t B a l a n c e >  
                 < A c c o u n t B a l a n c e >  
                     < F i e l d N a m e > P r i o r P e r i o d 3 B a l a n c e < / F i e l d N a m e >  
                     < B a l a n c e > - 6 8 3 0 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 - 7 3 7 9 8 6 8 2 0 0 9 9 9 9 9 8 5 1 0 < / I D >  
             < T a r g e t A c c o u n t I D > - 7 3 7 9 8 6 8 2 0 0 9 9 9 9 9 8 6 4 3 < / T a r g e t A c c o u n t I D >  
             < C h a r t I D > - 7 3 7 9 8 6 8 2 0 0 9 9 9 9 9 8 6 9 7 < / C h a r t I D >  
             < I s L i n k e d > f a l s e < / I s L i n k e d >  
             < N u m b e r > 0 4 0 2 0 0 1 0 0 0 2 7 < / N u m b e r >  
             < N a m e > P r o f i t   O n   -   N i b   B a n k   L i m i t e d   -   C l o t h   M a r k e t 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 - 1 9 3 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 - 7 3 7 9 8 6 8 2 0 0 9 9 9 9 9 8 5 0 9 < / I D >  
             < T a r g e t A c c o u n t I D > - 7 3 7 9 8 6 8 2 0 0 9 9 9 9 9 8 6 4 3 < / T a r g e t A c c o u n t I D >  
             < C h a r t I D > - 7 3 7 9 8 6 8 2 0 0 9 9 9 9 9 8 6 9 7 < / C h a r t I D >  
             < I s L i n k e d > f a l s e < / I s L i n k e d >  
             < N u m b e r > 0 4 0 2 0 0 1 0 0 0 2 9 < / N u m b e r >  
             < N a m e > P R O F I T   O N   -   S T A N D A R D   C H A R T E R E D   B A N K 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 - 1 0 6 4 < / B a l a n c e >  
                 < / A c c o u n t B a l a n c e >  
                 < A c c o u n t B a l a n c e >  
                     < F i e l d N a m e > P r i o r P e r i o d 2 B a l a n c e < / F i e l d N a m e >  
                     < B a l a n c e > - 1 2 4 < / B a l a n c e >  
                 < / A c c o u n t B a l a n c e >  
                 < A c c o u n t B a l a n c e >  
                     < F i e l d N a m e > P r i o r P e r i o d 3 B a l a n c e < / F i e l d N a m e >  
                     < B a l a n c e > - 2 1 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 - 7 3 7 9 8 6 8 2 0 0 9 9 9 9 9 8 4 7 5 < / I D >  
             < T a r g e t A c c o u n t I D > - 7 3 7 9 8 6 8 2 0 0 9 9 9 9 9 8 6 4 3 < / T a r g e t A c c o u n t I D >  
             < C h a r t I D > - 7 3 7 9 8 6 8 2 0 0 9 9 9 9 9 8 6 9 7 < / C h a r t I D >  
             < I s L i n k e d > f a l s e < / I s L i n k e d >  
             < N u m b e r > 0 4 0 2 0 0 1 0 0 0 3 4 < / N u m b e r >  
             < N a m e > P r o f i t   O n   -   U n i t e d   B a n k   L i m i t e d   -   C o r p o r a t e   B r a n c h < / N a m e >  
             < A J E > 0 < / A J E >  
             < A d j u s t > - 4 2 < / A d j u s t >  
             < R J E > 0 < / R J E >  
             < P r e l i m i n a r y > - 4 2 < / P r e l i m i n a r y >  
             < F i n a l > - 4 2 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 2 4 7 1 7 0 1 8 2 8 3 0 0 0 0 0 1 0 1 < / I D >  
             < T a r g e t A c c o u n t I D > - 7 3 7 9 8 6 8 2 0 0 9 9 9 9 9 8 6 4 3 < / T a r g e t A c c o u n t I D >  
             < C h a r t I D > - 7 3 7 9 8 6 8 2 0 0 9 9 9 9 9 8 6 9 7 < / C h a r t I D >  
             < I s L i n k e d > f a l s e < / I s L i n k e d >  
             < N u m b e r > 0 4 0 2 0 0 1 0 0 0 6 9 < / N u m b e r >  
             < N a m e > P r o f i t   O n   -   B a n k   A l   H a b i b 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 - 1 8 4 4 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 2 4 7 1 7 0 1 8 2 8 3 0 0 0 0 0 1 0 2 < / I D >  
             < T a r g e t A c c o u n t I D > - 7 3 7 9 8 6 8 2 0 0 9 9 9 9 9 8 6 4 3 < / T a r g e t A c c o u n t I D >  
             < C h a r t I D > - 7 3 7 9 8 6 8 2 0 0 9 9 9 9 9 8 6 9 7 < / C h a r t I D >  
             < I s L i n k e d > f a l s e < / I s L i n k e d >  
             < N u m b e r > 0 4 0 2 0 0 1 0 0 0 7 2 < / N u m b e r >  
             < N a m e > P r o f i t   O n   -   Z a r a i   T a r a q i a t i   B a n k   L i m i t e d   -   S h a f i   C o u r t   B r a n c h < / N a m e >  
             < A J E > 0 < / A J E >  
             < A d j u s t > - 4 6 9 < / A d j u s t >  
             < R J E > 0 < / R J E >  
             < P r e l i m i n a r y > - 4 6 9 < / P r e l i m i n a r y >  
             < F i n a l > - 4 6 9 < / F i n a l >  
         < / A c c o u n t S t o r a g e >  
         < A c c o u n t S t o r a g e >  
             < A c c o u n t B a l a n c e s >  
                 < A c c o u n t B a l a n c e >  
                     < F i e l d N a m e > P r i o r P e r i o d 1 B a l a n c e < / F i e l d N a m e >  
                     < B a l a n c e > - 1 8 8 2 1 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 2 4 7 1 7 0 1 8 2 8 3 0 0 0 0 0 1 0 3 < / I D >  
             < T a r g e t A c c o u n t I D > - 7 3 7 9 8 6 8 2 0 0 9 9 9 9 9 8 6 4 3 < / T a r g e t A c c o u n t I D >  
             < C h a r t I D > - 7 3 7 9 8 6 8 2 0 0 9 9 9 9 9 8 6 9 7 < / C h a r t I D >  
             < I s L i n k e d > f a l s e < / I s L i n k e d >  
             < N u m b e r > 0 4 0 2 0 0 1 0 0 0 7 5 < / N u m b e r >  
             < N a m e > P r o f i t   O n   -   J s   B a n k   L i m i t e d   -   O c e a n   T o w e r ,   C l i f t o n   B r a n c h < / N a m e >  
             < A J E > 0 < / A J E >  
             < A d j u s t > - 8 6 1 6 < / A d j u s t >  
             < R J E > 0 < / R J E >  
             < P r e l i m i n a r y > - 8 6 1 6 < / P r e l i m i n a r y >  
             < F i n a l > - 8 6 1 6 < / F i n a l >  
         < / A c c o u n t S t o r a g e >  
         < A c c o u n t S t o r a g e >  
             < A c c o u n t B a l a n c e s >  
                 < A c c o u n t B a l a n c e >  
                     < F i e l d N a m e > P r i o r P e r i o d 1 B a l a n c e < / F i e l d N a m e >  
                     < B a l a n c e > - 3 8 6 8 < / 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 2 4 7 1 7 0 1 8 2 8 3 0 0 0 0 0 1 0 4 < / I D >  
             < T a r g e t A c c o u n t I D > - 7 3 7 9 8 6 8 2 0 0 9 9 9 9 9 8 6 4 3 < / T a r g e t A c c o u n t I D >  
             < C h a r t I D > - 7 3 7 9 8 6 8 2 0 0 9 9 9 9 9 8 6 9 7 < / C h a r t I D >  
             < I s L i n k e d > f a l s e < / I s L i n k e d >  
             < N u m b e r > 0 4 0 2 0 0 1 0 0 0 7 7 < / N u m b e r >  
             < N a m e > P r o f i t   O n   -   N r s p   M i c r o f i n a n c e   B a n k   L i m i t e d < / N a m e >  
             < A J E > 0 < / A J E >  
             < A d j u s t > - 4 4 4 9 < / A d j u s t >  
             < R J E > 0 < / R J E >  
             < P r e l i m i n a r y > - 4 4 4 9 < / P r e l i m i n a r y >  
             < F i n a l > - 4 4 4 9 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 2 4 7 1 7 0 1 8 2 8 3 0 0 0 0 0 1 0 5 < / I D >  
             < T a r g e t A c c o u n t I D > - 7 3 7 9 8 6 8 2 0 0 9 9 9 9 9 8 6 4 3 < / T a r g e t A c c o u n t I D >  
             < C h a r t I D > - 7 3 7 9 8 6 8 2 0 0 9 9 9 9 9 8 6 9 7 < / C h a r t I D >  
             < I s L i n k e d > f a l s e < / I s L i n k e d >  
             < N u m b e r > 0 4 0 2 0 0 1 0 0 0 7 8 < / N u m b e r >  
             < N a m e > P r o f i t   O n   -   M o b i l i n k 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 - 4 0 9 5 < / 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 2 4 7 1 7 0 1 8 2 8 3 0 0 0 0 0 1 0 6 < / I D >  
             < T a r g e t A c c o u n t I D > - 7 3 7 9 8 6 8 2 0 0 9 9 9 9 9 8 6 4 3 < / T a r g e t A c c o u n t I D >  
             < C h a r t I D > - 7 3 7 9 8 6 8 2 0 0 9 9 9 9 9 8 6 9 7 < / C h a r t I D >  
             < I s L i n k e d > f a l s e < / I s L i n k e d >  
             < N u m b e r > 0 4 0 2 0 0 1 0 0 0 7 9 < / N u m b e r >  
             < N a m e > P r o f i t   O n   -   U   M i c r o f i n a n c e   B a n k   L i m i t e d < / N a m e >  
             < A J E > 0 < / A J E >  
             < A d j u s t > - 7 7 8 8 < / A d j u s t >  
             < R J E > 0 < / R J E >  
             < P r e l i m i n a r y > - 7 7 8 8 < / P r e l i m i n a r y >  
             < F i n a l > - 7 7 8 8 < / F i n a l >  
         < / A c c o u n t S t o r a g e >  
         < A c c o u n t S t o r a g e >  
             < A c c o u n t B a l a n c e s >  
                 < A c c o u n t B a l a n c e >  
                     < F i e l d N a m e > P r i o r P e r i o d 1 B a l a n c e < / F i e l d N a m e >  
                     < B a l a n c e > - 8 5 0 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 2 4 7 1 7 0 1 8 2 8 3 0 0 0 0 0 1 0 7 < / I D >  
             < T a r g e t A c c o u n t I D > - 7 3 7 9 8 6 8 2 0 0 9 9 9 9 9 8 6 4 3 < / T a r g e t A c c o u n t I D >  
             < C h a r t I D > - 7 3 7 9 8 6 8 2 0 0 9 9 9 9 9 8 6 9 7 < / C h a r t I D >  
             < I s L i n k e d > f a l s e < / I s L i n k e d >  
             < N u m b e r > 0 4 0 2 0 0 1 0 0 0 8 0 < / N u m b e r >  
             < N a m e > P r o f i t   O n   -   K h u s h a l i   M i c r o f i n a n c e   B a n k   L i m i t e d < / N a m e >  
             < A J E > 0 < / A J E >  
             < A d j u s t > - 7 8 7 < / A d j u s t >  
             < R J E > 0 < / R J E >  
             < P r e l i m i n a r y > - 7 8 7 < / P r e l i m i n a r y >  
             < F i n a l > - 7 8 7 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 2 4 7 1 7 0 1 8 2 8 3 0 0 0 0 0 1 0 8 < / I D >  
             < T a r g e t A c c o u n t I D > - 7 3 7 9 8 6 8 2 0 0 9 9 9 9 9 8 6 4 3 < / T a r g e t A c c o u n t I D >  
             < C h a r t I D > - 7 3 7 9 8 6 8 2 0 0 9 9 9 9 9 8 6 9 7 < / C h a r t I D >  
             < I s L i n k e d > f a l s e < / I s L i n k e d >  
             < N u m b e r > 0 4 0 2 0 0 1 0 0 0 8 2 < / N u m b e r >  
             < N a m e > P r o f i t   O n   -   T a m e e r   M i c r o f i n a n c e   B a n k < / N a m e >  
             < A J E > 0 < / A J E >  
             < A d j u s t > - 2 6 4 6 < / A d j u s t >  
             < R J E > 0 < / R J E >  
             < P r e l i m i n a r y > - 2 6 4 6 < / P r e l i m i n a r y >  
             < F i n a l > - 2 6 4 6 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 2 7 9 9 2 7 4 6 8 9 4 0 0 0 0 0 0 2 7 < / I D >  
             < T a r g e t A c c o u n t I D > - 7 3 7 9 8 6 8 2 0 0 9 9 9 9 9 8 6 4 3 < / T a r g e t A c c o u n t I D >  
             < C h a r t I D > - 7 3 7 9 8 6 8 2 0 0 9 9 9 9 9 8 6 9 7 < / C h a r t I D >  
             < I s L i n k e d > f a l s e < / I s L i n k e d >  
             < N u m b e r > 0 4 0 2 0 0 1 0 0 0 9 0 < / N u m b e r >  
             < N a m e > P r o f i t   O n   -   H a b i b   B a n k   L i m i t e d   K s e   B r a n c h < / N a m e >  
             < A J E > 0 < / A J E >  
             < A d j u s t > - 6 < / A d j u s t >  
             < R J E > 0 < / R J E >  
             < P r e l i m i n a r y > - 6 < / P r e l i m i n a r y >  
             < F i n a l > - 6 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 2 7 9 9 2 7 4 6 8 9 4 0 0 0 0 0 0 2 8 < / I D >  
             < T a r g e t A c c o u n t I D > - 7 3 7 9 8 6 8 2 0 0 9 9 9 9 9 8 6 4 3 < / T a r g e t A c c o u n t I D >  
             < C h a r t I D > - 7 3 7 9 8 6 8 2 0 0 9 9 9 9 9 8 6 9 7 < / C h a r t I D >  
             < I s L i n k e d > f a l s e < / I s L i n k e d >  
             < N u m b e r > 0 4 0 2 0 0 1 0 0 0 9 3 < / N u m b e r >  
             < N a m e > P r o f i t   O n   -   F i r s t   M i c r o   F i n a n c e   B a n k   L t d   -   C l i f t o n   B r a n c h < / N a m e >  
             < A J E > 0 < / A J E >  
             < A d j u s t > - 6 2 0 7 < / A d j u s t >  
             < R J E > 0 < / R J E >  
             < P r e l i m i n a r y > - 6 2 0 7 < / P r e l i m i n a r y >  
             < F i n a l > - 6 2 0 7 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 2 7 9 9 2 7 4 6 8 9 4 0 0 0 0 0 0 2 9 < / I D >  
             < T a r g e t A c c o u n t I D > - 7 3 7 9 8 6 8 2 0 0 9 9 9 9 9 8 6 4 3 < / T a r g e t A c c o u n t I D >  
             < C h a r t I D > - 7 3 7 9 8 6 8 2 0 0 9 9 9 9 9 8 6 9 7 < / C h a r t I D >  
             < I s L i n k e d > f a l s e < / I s L i n k e d >  
             < N u m b e r > 0 4 0 2 0 0 1 0 0 0 9 9 < / N u m b e r >  
             < N a m e > P r o f i t   O n   -   S i l k   B a n k   L i m i t e d   -   M a i n   B r a n c h < / N a m e >  
             < A J E > 0 < / A J E >  
             < A d j u s t > - 6 5 6 1 < / A d j u s t >  
             < R J E > 0 < / R J E >  
             < P r e l i m i n a r y > - 6 5 6 1 < / P r e l i m i n a r y >  
             < F i n a l > - 6 5 6 1 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 2 4 7 1 7 0 1 8 2 8 3 0 0 0 0 0 0 9 9 < / I D >  
             < T a r g e t A c c o u n t I D > - 7 3 7 9 8 6 8 2 0 0 9 9 9 9 9 8 6 9 2 < / T a r g e t A c c o u n t I D >  
             < C h a r t I D > - 7 3 7 9 8 6 8 2 0 0 9 9 9 9 9 8 6 9 7 < / C h a r t I D >  
             < I s L i n k e d > f a l s e < / I s L i n k e d >  
             < N u m b e r > 0 4 0 1 0 1 2 0 0 0 0 1 < / N u m b e r >  
             < N a m e > U R G   /   L O S S   H F T   E Q U I T Y   I N V E S T M E N T S < / N a m e >  
             < A J E > 0 < / A J E >  
             < A d j u s t > 0 < / A d j u s t >  
             < R J E > 0 < / R J E >  
             < P r e l i m i n a r y > 0 < / P r e l i m i n a r y >  
             < F i n a l > 0 < / F i n a l >  
         < / A c c o u n t S t o r a g e >  
         < A c c o u n t S t o r a g e >  
             < A c c o u n t B a l a n c e s >  
                 < A c c o u n t B a l a n c e >  
                     < F i e l d N a m e > P r i o r P e r i o d 1 B a l a n c e < / F i e l d N a m e >  
                     < B a l a n c e > - 2 5 2 4 < / B a l a n c e >  
                 < / A c c o u n t B a l a n c e >  
                 < A c c o u n t B a l a n c e >  
                     < F i e l d N a m e > P r i o r P e r i o d 2 B a l a n c e < / F i e l d N a m e >  
                     < B a l a n c e > - 1 0 3 1 < / B a l a n c e >  
                 < / A c c o u n t B a l a n c e >  
                 < A c c o u n t B a l a n c e >  
                     < F i e l d N a m e > P r i o r P e r i o d 3 B a l a n c e < / F i e l d N a m e >  
                     < B a l a n c e > - 2 2 7 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 - 7 3 7 9 8 6 8 2 0 0 9 9 9 9 9 8 5 1 8 < / I D >  
             < T a r g e t A c c o u n t I D > - 7 3 7 9 8 6 8 2 0 0 9 9 9 9 9 8 6 9 2 < / T a r g e t A c c o u n t I D >  
             < C h a r t I D > - 7 3 7 9 8 6 8 2 0 0 9 9 9 9 9 8 6 9 7 < / C h a r t I D >  
             < I s L i n k e d > f a l s e < / I s L i n k e d >  
             < N u m b e r > 0 4 0 1 0 1 4 0 0 0 0 1 < / N u m b e r >  
             < N a m e > U R G   /   L O S S   I N V E S T M E N T   I N   D E B T   S E C U R I T I E S < / N a m e >  
             < A J E > 0 < / A J E >  
             < A d j u s t > 3 8 0 5 < / A d j u s t >  
             < R J E > 0 < / R J E >  
             < P r e l i m i n a r y > 3 8 0 5 < / P r e l i m i n a r y >  
             < F i n a l > 3 8 0 5 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 - 2 5 7 < / B a l a n c e >  
                 < / A c c o u n t B a l a n c e >  
                 < A c c o u n t B a l a n c e >  
                     < F i e l d N a m e > P r i o r P e r i o d 3 B a l a n c e < / F i e l d N a m e >  
                     < B a l a n c e > - 5 5 9 5 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 - 7 3 7 9 8 6 8 2 0 0 9 9 9 9 9 8 5 1 7 < / I D >  
             < T a r g e t A c c o u n t I D > - 7 3 7 9 8 6 8 2 0 0 9 9 9 9 9 8 6 9 2 < / T a r g e t A c c o u n t I D >  
             < C h a r t I D > - 7 3 7 9 8 6 8 2 0 0 9 9 9 9 9 8 6 9 7 < / C h a r t I D >  
             < I s L i n k e d > f a l s e < / I s L i n k e d >  
             < N u m b e r > 0 4 0 1 0 1 5 0 0 0 0 1 < / N u m b e r >  
             < N a m e > U R G / L O S S   I N V E S T M E N T S   I N   P I B S < / N a m e >  
             < A J E > 0 < / A J E >  
             < A d j u s t > 8 4 < / A d j u s t >  
             < R J E > 0 < / R J E >  
             < P r e l i m i n a r y > 8 4 < / P r e l i m i n a r y >  
             < F i n a l > 8 4 < / 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 0 < / B a l a n c e >  
                 < / A c c o u n t B a l a n c e >  
                 < A c c o u n t B a l a n c e >  
                     < F i e l d N a m e > P r i o r P e r i o d 3 B a l a n c e < / F i e l d N a m e >  
                     < B a l a n c e > - 6 3 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 - 7 3 7 9 8 6 8 2 0 0 9 9 9 9 9 8 5 1 6 < / I D >  
             < T a r g e t A c c o u n t I D > - 7 3 7 9 8 6 8 2 0 0 9 9 9 9 9 8 6 9 2 < / T a r g e t A c c o u n t I D >  
             < C h a r t I D > - 7 3 7 9 8 6 8 2 0 0 9 9 9 9 9 8 6 9 7 < / C h a r t I D >  
             < I s L i n k e d > f a l s e < / I s L i n k e d >  
             < N u m b e r > 0 4 0 1 0 1 6 0 0 0 0 1 < / N u m b e r >  
             < N a m e > U R G / L O S S   I N V E S T M E N T S   I N   T B I L L S < / N a m e >  
             < A J E > 0 < / A J E >  
             < A d j u s t > - 4 < / A d j u s t >  
             < R J E > 0 < / R J E >  
             < P r e l i m i n a r y > - 4 < / P r e l i m i n a r y >  
             < F i n a l > - 4 < / F i n a l >  
         < / A c c o u n t S t o r a g e >  
         < A c c o u n t S t o r a g e >  
             < A c c o u n t B a l a n c e s >  
                 < A c c o u n t B a l a n c e >  
                     < F i e l d N a m e > P r i o r P e r i o d 1 B a l a n c e < / F i e l d N a m e >  
                     < B a l a n c e > - 1 3 5 4 1 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 2 4 7 1 7 0 1 8 2 8 3 0 0 0 0 0 0 9 8 < / I D >  
             < T a r g e t A c c o u n t I D > 2 4 7 1 7 0 1 8 2 8 3 0 0 0 0 0 1 2 9 < / T a r g e t A c c o u n t I D >  
             < C h a r t I D > - 7 3 7 9 8 6 8 2 0 0 9 9 9 9 9 8 6 9 7 < / C h a r t I D >  
             < I s L i n k e d > f a l s e < / I s L i n k e d >  
             < N u m b e r > 0 4 0 1 0 1 0 0 0 0 0 1 < / N u m b e r >  
             < N a m e > D I V I D E N D   I N C O M E   O N   E Q U I T Y   S E C U R I T I E S < / N a m e >  
             < A J E > 0 < / A J E >  
             < A d j u s t > - 2 0 4 5 < / A d j u s t >  
             < R J E > 0 < / R J E >  
             < P r e l i m i n a r y > - 2 0 4 5 < / P r e l i m i n a r y >  
             < F i n a l > - 2 0 4 5 < / F i n a l >  
         < / A c c o u n t S t o r a g e >  
         < A c c o u n t S t o r a g e >  
             < A c c o u n t B a l a n c e s >  
                 < A c c o u n t B a l a n c e >  
                     < F i e l d N a m e > P r i o r P e r i o d 1 B a l a n c e < / F i e l d N a m e >  
                     < B a l a n c e > 2 7 5 6 < / B a l a n c e >  
                 < / A c c o u n t B a l a n c e >  
                 < A c c o u n t B a l a n c e >  
                     < F i e l d N a m e > P r i o r P e r i o d 2 B a l a n c e < / F i e l d N a m e >  
                     < B a l a n c e > - 1 2 0 4 6 < / 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 - 7 3 7 9 8 6 8 2 0 0 9 9 9 9 9 8 4 3 3 < / I D >  
             < T a r g e t A c c o u n t I D > - 7 3 7 9 8 6 8 2 0 0 9 9 9 9 9 8 6 9 1 < / T a r g e t A c c o u n t I D >  
             < C h a r t I D > - 7 3 7 9 8 6 8 2 0 0 9 9 9 9 9 8 6 9 7 < / C h a r t I D >  
             < I s L i n k e d > f a l s e < / I s L i n k e d >  
             < N u m b e r > 0 4 0 7 0 0 1 0 0 1 < / N u m b e r >  
             < N a m e > P r o v i s i o n   A g a i n s t   D e b t   S e c u r i t i e s     P r i n c i p a l   A m o u n t 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 3 8 9 3 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 - 7 3 7 9 8 6 8 2 0 0 9 9 9 9 9 8 4 9 3 < / I D >  
             < T a r g e t A c c o u n t I D > - 7 3 7 9 8 6 8 2 0 0 9 9 9 9 9 8 6 9 1 < / T a r g e t A c c o u n t I D >  
             < C h a r t I D > - 7 3 7 9 8 6 8 2 0 0 9 9 9 9 9 8 6 9 7 < / C h a r t I D >  
             < I s L i n k e d > f a l s e < / I s L i n k e d >  
             < N u m b e r > 0 5 0 4 0 0 1 0 0 0 0 1 < / N u m b e r >  
             < N a m e > P R O V I S I O N   A G A I N S T   D E B T   S E C U R I T I E S     P R I N C I P A L   A M O U N T < / N a m e >  
             < A J E > 0 < / A J E >  
             < A d j u s t > 0 < / A d j u s t >  
             < R J E > 0 < / R J E >  
             < P r e l i m i n a r y > 0 < / P r e l i m i n a r y >  
             < F i n a l > 0 < / F i n a l >  
         < / A c c o u n t S t o r a g e >  
         < A c c o u n t S t o r a g e >  
             < A c c o u n t B a l a n c e s >  
                 < A c c o u n t B a l a n c e >  
                     < F i e l d N a m e > P r i o r P e r i o d 1 B a l a n c e < / F i e l d N a m e >  
                     < B a l a n c e > 3 3 6 8 8 < / B a l a n c e >  
                 < / A c c o u n t B a l a n c e >  
                 < A c c o u n t B a l a n c e >  
                     < F i e l d N a m e > P r i o r P e r i o d 2 B a l a n c e < / F i e l d N a m e >  
                     < B a l a n c e > 4 8 4 9 5 < / B a l a n c e >  
                 < / A c c o u n t B a l a n c e >  
                 < A c c o u n t B a l a n c e >  
                     < F i e l d N a m e > P r i o r P e r i o d 3 B a l a n c e < / F i e l d N a m e >  
                     < B a l a n c e > 2 3 7 3 7 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 - 7 3 7 9 8 6 8 2 0 0 9 9 9 9 9 8 5 0 0 < / I D >  
             < T a r g e t A c c o u n t I D > - 7 3 7 9 8 6 8 2 0 0 9 9 9 9 9 8 6 9 0 < / T a r g e t A c c o u n t I D >  
             < C h a r t I D > - 7 3 7 9 8 6 8 2 0 0 9 9 9 9 9 8 6 9 7 < / C h a r t I D >  
             < I s L i n k e d > f a l s e < / I s L i n k e d >  
             < N u m b e r > 0 5 0 1 0 0 1 0 0 0 0 1 < / N u m b e r >  
             < N a m e > M A N A G E M E N T   C O M P A N Y   R E M U N E R A T I O N < / N a m e >  
             < A J E > 0 < / A J E >  
             < A d j u s t > 1 8 8 5 4 < / A d j u s t >  
             < R J E > 0 < / R J E >  
             < P r e l i m i n a r y > 1 8 8 5 4 < / P r e l i m i n a r y >  
             < F i n a l > 1 8 8 5 4 < / F i n a l >  
         < / A c c o u n t S t o r a g e >  
         < A c c o u n t S t o r a g e >  
             < A c c o u n t B a l a n c e s >  
                 < A c c o u n t B a l a n c e >  
                     < F i e l d N a m e > P r i o r P e r i o d 1 B a l a n c e < / F i e l d N a m e >  
                     < B a l a n c e > 4 3 7 9 < / B a l a n c e >  
                 < / A c c o u n t B a l a n c e >  
                 < A c c o u n t B a l a n c e >  
                     < F i e l d N a m e > P r i o r P e r i o d 2 B a l a n c e < / F i e l d N a m e >  
                     < B a l a n c e > 6 7 8 9 < / B a l a n c e >  
                 < / A c c o u n t B a l a n c e >  
                 < A c c o u n t B a l a n c e >  
                     < F i e l d N a m e > P r i o r P e r i o d 3 B a l a n c e < / F i e l d N a m e >  
                     < B a l a n c e > 3 7 0 6 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 - 7 3 7 9 8 6 8 2 0 0 9 9 9 9 9 8 4 9 9 < / I D >  
             < T a r g e t A c c o u n t I D > - 7 3 7 9 8 6 8 2 0 0 9 9 9 9 9 8 6 9 0 < / T a r g e t A c c o u n t I D >  
             < C h a r t I D > - 7 3 7 9 8 6 8 2 0 0 9 9 9 9 9 8 6 9 7 < / C h a r t I D >  
             < I s L i n k e d > f a l s e < / I s L i n k e d >  
             < N u m b e r > 0 5 0 1 0 0 1 0 0 0 0 2 < / N u m b e r >  
             < N a m e > S A L E S   T A X   O N   M A N A G E M E N T   C O M P A N Y   R E M U N E R A T I O N < / N a m e >  
             < A J E > 0 < / A J E >  
             < A d j u s t > 2 4 5 1 < / A d j u s t >  
             < R J E > 0 < / R J E >  
             < P r e l i m i n a r y > 2 4 5 1 < / P r e l i m i n a r y >  
             < F i n a l > 2 4 5 1 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 8 8 3 5 < / B a l a n c e >  
                 < / A c c o u n t B a l a n c e >  
                 < A c c o u n t B a l a n c e >  
                     < F i e l d N a m e > P r i o r P e r i o d 3 B a l a n c e < / F i e l d N a m e >  
                     < B a l a n c e > 4 2 2 3 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 - 7 3 7 9 8 6 8 2 0 0 9 9 9 9 9 8 4 9 8 < / I D >  
             < T a r g e t A c c o u n t I D > - 7 3 7 9 8 6 8 2 0 0 9 9 9 9 9 8 6 9 0 < / T a r g e t A c c o u n t I D >  
             < C h a r t I D > - 7 3 7 9 8 6 8 2 0 0 9 9 9 9 9 8 6 9 7 < / C h a r t I D >  
             < I s L i n k e d > f a l s e < / I s L i n k e d >  
             < N u m b e r > 0 5 0 1 0 0 1 0 0 0 0 3 < / N u m b e r >  
             < N a m e > F E D   E X P E N S E   O N   M G M   F E E < / N a m e >  
             < A J E > 0 < / A J E >  
             < A d j u s t > 0 < / A d j u s t >  
             < R J E > 0 < / R J E >  
             < P r e l i m i n a r y > 0 < / P r e l i m i n a r y >  
             < F i n a l > 0 < / F i n a l >  
         < / A c c o u n t S t o r a g e >  
         < A c c o u n t S t o r a g e >  
             < A c c o u n t B a l a n c e s >  
                 < A c c o u n t B a l a n c e >  
                     < F i e l d N a m e > P r i o r P e r i o d 1 B a l a n c e < / F i e l d N a m e >  
                     < B a l a n c e > 2 9 2 0 < / B a l a n c e >  
                 < / A c c o u n t B a l a n c e >  
                 < A c c o u n t B a l a n c e >  
                     < F i e l d N a m e > P r i o r P e r i o d 2 B a l a n c e < / F i e l d N a m e >  
                     < B a l a n c e > 3 5 9 8 < / B a l a n c e >  
                 < / A c c o u n t B a l a n c e >  
                 < A c c o u n t B a l a n c e >  
                     < F i e l d N a m e > P r i o r P e r i o d 3 B a l a n c e < / F i e l d N a m e >  
                     < B a l a n c e > 2 1 9 4 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 - 7 3 7 9 8 6 8 2 0 0 9 9 9 9 9 8 4 9 7 < / I D >  
             < T a r g e t A c c o u n t I D > - 7 3 7 9 8 6 8 2 0 0 9 9 9 9 9 8 6 8 9 < / T a r g e t A c c o u n t I D >  
             < C h a r t I D > - 7 3 7 9 8 6 8 2 0 0 9 9 9 9 9 8 6 9 7 < / C h a r t I D >  
             < I s L i n k e d > f a l s e < / I s L i n k e d >  
             < N u m b e r > 0 5 0 1 0 0 2 0 0 0 0 1 < / N u m b e r >  
             < N a m e > T R U S T E E   R E M U N E R A T I O N < / N a m e >  
             < A J E > 0 < / A J E >  
             < A d j u s t > 2 4 1 2 < / A d j u s t >  
             < R J E > 0 < / R J E >  
             < P r e l i m i n a r y > 2 4 1 2 < / P r e l i m i n a r y >  
             < F i n a l > 2 4 1 2 < / F i n a l >  
         < / A c c o u n t S t o r a g e >  
         < A c c o u n t S t o r a g e >  
             < A c c o u n t B a l a n c e s >  
                 < A c c o u n t B a l a n c e >  
                     < F i e l d N a m e > P r i o r P e r i o d 1 B a l a n c e < / F i e l d N a m e >  
                     < B a l a n c e > 1 8 2 6 < / B a l a n c e >  
                 < / A c c o u n t B a l a n c e >  
                 < A c c o u n t B a l a n c e >  
                     < F i e l d N a m e > P r i o r P e r i o d 2 B a l a n c e < / F i e l d N a m e >  
                     < B a l a n c e > 2 4 2 5 < / B a l a n c e >  
                 < / A c c o u n t B a l a n c e >  
                 < A c c o u n t B a l a n c e >  
                     < F i e l d N a m e > P r i o r P e r i o d 3 B a l a n c e < / F i e l d N a m e >  
                     < B a l a n c e > 1 1 8 7 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 - 7 3 7 9 8 6 8 2 0 0 9 9 9 9 9 8 4 9 6 < / I D >  
             < T a r g e t A c c o u n t I D > - 7 3 7 9 8 6 8 2 0 0 9 9 9 9 9 8 6 8 8 < / T a r g e t A c c o u n t I D >  
             < C h a r t I D > - 7 3 7 9 8 6 8 2 0 0 9 9 9 9 9 8 6 9 7 < / C h a r t I D >  
             < I s L i n k e d > f a l s e < / I s L i n k e d >  
             < N u m b e r > 0 5 0 1 0 0 3 0 0 0 0 1 < / N u m b e r >  
             < N a m e > S E C P   A N N U A L   F E E < / N a m e >  
             < A J E > 0 < / A J E >  
             < A d j u s t > 1 3 7 8 < / A d j u s t >  
             < R J E > 0 < / R J E >  
             < P r e l i m i n a r y > 1 3 7 8 < / P r e l i m i n a r y >  
             < F i n a l > 1 3 7 8 < / F i n a l >  
         < / A c c o u n t S t o r a g e >  
         < A c c o u n t S t o r a g e >  
             < A c c o u n t B a l a n c e s >  
                 < A c c o u n t B a l a n c e >  
                     < F i e l d N a m e > P r i o r P e r i o d 1 B a l a n c e < / F i e l d N a m e >  
                     < B a l a n c e > 4 3 2 1 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 2 4 7 1 7 0 1 8 2 8 3 0 0 0 0 0 1 1 3 < / I D >  
             < T a r g e t A c c o u n t I D > - 7 3 7 9 8 6 8 2 0 0 9 9 9 9 9 8 6 8 7 < / T a r g e t A c c o u n t I D >  
             < C h a r t I D > - 7 3 7 9 8 6 8 2 0 0 9 9 9 9 9 8 6 9 7 < / C h a r t I D >  
             < I s L i n k e d > f a l s e < / I s L i n k e d >  
             < N u m b e r > 0 5 0 2 0 0 1 0 0 0 0 1 < / N u m b e r >  
             < N a m e > B R O K E R A G E   E X P E N S E   O N   E Q U I T Y   I N V E S T M E N T < / N a m e >  
             < A J E > 0 < / A J E >  
             < A d j u s t > 3 8 9 < / A d j u s t >  
             < R J E > 0 < / R J E >  
             < P r e l i m i n a r y > 3 8 9 < / P r e l i m i n a r y >  
             < F i n a l > 3 8 9 < / F i n a l >  
         < / A c c o u n t S t o r a g e >  
         < A c c o u n t S t o r a g e >  
             < A c c o u n t B a l a n c e s >  
                 < A c c o u n t B a l a n c e >  
                     < F i e l d N a m e > P r i o r P e r i o d 1 B a l a n c e < / F i e l d N a m e >  
                     < B a l a n c e > 5 1 8 < / B a l a n c e >  
                 < / A c c o u n t B a l a n c e >  
                 < A c c o u n t B a l a n c e >  
                     < F i e l d N a m e > P r i o r P e r i o d 2 B a l a n c e < / F i e l d N a m e >  
                     < B a l a n c e > 9 4 8 < / B a l a n c e >  
                 < / A c c o u n t B a l a n c e >  
                 < A c c o u n t B a l a n c e >  
                     < F i e l d N a m e > P r i o r P e r i o d 3 B a l a n c e < / F i e l d N a m e >  
                     < B a l a n c e > 5 7 2 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 - 7 3 7 9 8 6 8 2 0 0 9 9 9 9 9 8 4 9 5 < / I D >  
             < T a r g e t A c c o u n t I D > - 7 3 7 9 8 6 8 2 0 0 9 9 9 9 9 8 6 8 7 < / T a r g e t A c c o u n t I D >  
             < C h a r t I D > - 7 3 7 9 8 6 8 2 0 0 9 9 9 9 9 8 6 9 7 < / C h a r t I D >  
             < I s L i n k e d > f a l s e < / I s L i n k e d >  
             < N u m b e r > 0 5 0 2 0 0 1 0 0 0 0 2 < / N u m b e r >  
             < N a m e > B R O K E R A G E   E X P E N S E     M O N E Y   M A R K E T   T R A N S A C T I O N S < / N a m e >  
             < A J E > 0 < / A J E >  
             < A d j u s t > 1 3 3 < / A d j u s t >  
             < R J E > 0 < / R J E >  
             < P r e l i m i n a r y > 1 3 3 < / P r e l i m i n a r y >  
             < F i n a l > 1 3 3 < / F i n a l >  
         < / A c c o u n t S t o r a g e >  
         < A c c o u n t S t o r a g e >  
             < A c c o u n t B a l a n c e s >  
                 < A c c o u n t B a l a n c e >  
                     < F i e l d N a m e > P r i o r P e r i o d 1 B a l a n c e < / F i e l d N a m e >  
                     < B a l a n c e > 7 4 9 < / B a l a n c e >  
                 < / A c c o u n t B a l a n c e >  
                 < A c c o u n t B a l a n c e >  
                     < F i e l d N a m e > P r i o r P e r i o d 2 B a l a n c e < / F i e l d N a m e >  
                     < B a l a n c e > 1 9 < / B a l a n c e >  
                 < / A c c o u n t B a l a n c e >  
                 < A c c o u n t B a l a n c e >  
                     < F i e l d N a m e > P r i o r P e r i o d 3 B a l a n c e < / F i e l d N a m e >  
                     < B a l a n c e > 1 2 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 - 7 3 7 9 8 6 8 2 0 0 9 9 9 9 9 8 4 6 3 < / I D >  
             < T a r g e t A c c o u n t I D > - 7 3 7 9 8 6 8 2 0 0 9 9 9 9 9 8 6 8 7 < / T a r g e t A c c o u n t I D >  
             < C h a r t I D > - 7 3 7 9 8 6 8 2 0 0 9 9 9 9 9 8 6 9 7 < / C h a r t I D >  
             < I s L i n k e d > f a l s e < / I s L i n k e d >  
             < N u m b e r > 0 5 0 2 0 0 3 0 0 0 0 1 < / N u m b e r >  
             < N a m e > S E T T   C H G     T R U S T E E < / N a m e >  
             < A J E > 0 < / A J E >  
             < A d j u s t > 3 5 8 < / A d j u s t >  
             < R J E > 0 < / R J E >  
             < P r e l i m i n a r y > 3 5 8 < / P r e l i m i n a r y >  
             < F i n a l > 3 5 8 < / F i n a l >  
         < / A c c o u n t S t o r a g e >  
         < A c c o u n t S t o r a g e >  
             < A c c o u n t B a l a n c e s >  
                 < A c c o u n t B a l a n c e >  
                     < F i e l d N a m e > P r i o r P e r i o d 1 B a l a n c e < / F i e l d N a m e >  
                     < B a l a n c e > 4 1 7 < / B a l a n c e >  
                 < / A c c o u n t B a l a n c e >  
                 < A c c o u n t B a l a n c e >  
                     < F i e l d N a m e > P r i o r P e r i o d 2 B a l a n c e < / F i e l d N a m e >  
                     < B a l a n c e > 0 < / B a l a n c e >  
                 < / A c c o u n t B a l a n c e >  
                 < A c c o u n t B a l a n c e >  
                     < F i e l d N a m e > P r i o r P e r i o d 3 B a l a n c e < / F i e l d N a m e >  
                     < B a l a n c e > 2 2 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 - 7 3 7 9 8 6 8 2 0 0 9 9 9 9 9 8 4 6 2 < / I D >  
             < T a r g e t A c c o u n t I D > - 7 3 7 9 8 6 8 2 0 0 9 9 9 9 9 8 6 8 7 < / T a r g e t A c c o u n t I D >  
             < C h a r t I D > - 7 3 7 9 8 6 8 2 0 0 9 9 9 9 9 8 6 9 7 < / C h a r t I D >  
             < I s L i n k e d > f a l s e < / I s L i n k e d >  
             < N u m b e r > 0 5 0 2 0 0 3 0 0 0 0 2 < / N u m b e r >  
             < N a m e > S E T T   C H G     N C C P L     E Q U I T Y   T R A N S A C T I O N S < / N a m e >  
             < A J E > 0 < / A J E >  
             < A d j u s t > 1 3 4 < / A d j u s t >  
             < R J E > 0 < / R J E >  
             < P r e l i m i n a r y > 1 3 4 < / P r e l i m i n a r y >  
             < F i n a l > 1 3 4 < / F i n a l >  
         < / A c c o u n t S t o r a g e >  
         < A c c o u n t S t o r a g e >  
             < A c c o u n t B a l a n c e s >  
                 < A c c o u n t B a l a n c e >  
                     < F i e l d N a m e > P r i o r P e r i o d 1 B a l a n c e < / F i e l d N a m e >  
                     < B a l a n c e > 2 4 2 < / B a l a n c e >  
                 < / A c c o u n t B a l a n c e >  
                 < A c c o u n t B a l a n c e >  
                     < F i e l d N a m e > P r i o r P e r i o d 2 B a l a n c e < / F i e l d N a m e >  
                     < B a l a n c e > 2 5 5 < / B a l a n c e >  
                 < / A c c o u n t B a l a n c e >  
                 < A c c o u n t B a l a n c e >  
                     < F i e l d N a m e > P r i o r P e r i o d 3 B a l a n c e < / F i e l d N a m e >  
                     < B a l a n c e > 2 1 4 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 - 7 3 7 9 8 6 8 2 0 0 9 9 9 9 9 8 4 9 4 < / I D >  
             < T a r g e t A c c o u n t I D > - 7 3 7 9 8 6 8 2 0 0 9 9 9 9 9 8 6 8 7 < / T a r g e t A c c o u n t I D >  
             < C h a r t I D > - 7 3 7 9 8 6 8 2 0 0 9 9 9 9 9 8 6 9 7 < / C h a r t I D >  
             < I s L i n k e d > f a l s e < / I s L i n k e d >  
             < N u m b e r > 0 5 0 2 0 0 3 0 0 0 0 3 < / N u m b e r >  
             < N a m e > S E T T   C H G     N C C P L     D E B T   S E C U R I T Y   T R A N S A C T I O N S < / N a m e >  
             < A J E > 0 < / A J E >  
             < A d j u s t > 2 3 6 < / A d j u s t >  
             < R J E > 0 < / R J E >  
             < P r e l i m i n a r y > 2 3 6 < / P r e l i m i n a r y >  
             < F i n a l > 2 3 6 < / F i n a l >  
         < / A c c o u n t S t o r a g e >  
         < A c c o u n t S t o r a g e >  
             < A c c o u n t B a l a n c e s >  
                 < A c c o u n t B a l a n c e >  
                     < F i e l d N a m e > P r i o r P e r i o d 1 B a l a n c e < / F i e l d N a m e >  
                     < B a l a n c e > 6 6 < / B a l a n c e >  
                 < / A c c o u n t B a l a n c e >  
                 < A c c o u n t B a l a n c e >  
                     < F i e l d N a m e > P r i o r P e r i o d 2 B a l a n c e < / F i e l d N a m e >  
                     < B a l a n c e > 1 0 4 < / B a l a n c e >  
                 < / A c c o u n t B a l a n c e >  
                 < A c c o u n t B a l a n c e >  
                     < F i e l d N a m e > P r i o r P e r i o d 3 B a l a n c e < / F i e l d N a m e >  
                     < B a l a n c e > 1 0 0 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 - 7 3 7 9 8 6 8 2 0 0 9 9 9 9 9 8 4 9 0 < / I D >  
             < T a r g e t A c c o u n t I D > - 7 3 7 9 8 6 8 2 0 0 9 9 9 9 9 8 6 8 7 < / T a r g e t A c c o u n t I D >  
             < C h a r t I D > - 7 3 7 9 8 6 8 2 0 0 9 9 9 9 9 8 6 9 7 < / C h a r t I D >  
             < I s L i n k e d > f a l s e < / I s L i n k e d >  
             < N u m b e r > 0 5 0 6 0 0 2 0 0 0 0 1 < / N u m b e r >  
             < N a m e > L E G A L   A N D   P R O F E S S I O N A L   C H A R G E S < / N a m e >  
             < A J E > 0 < / A J E >  
             < A d j u s t > 1 7 1 < / A d j u s t >  
             < R J E > 0 < / R J E >  
             < P r e l i m i n a r y > 1 7 1 < / P r e l i m i n a r y >  
             < F i n a l > 1 7 1 < / F i n a l >  
         < / A c c o u n t S t o r a g e >  
         < A c c o u n t S t o r a g e >  
             < A c c o u n t B a l a n c e s >  
                 < A c c o u n t B a l a n c e >  
                     < F i e l d N a m e > P r i o r P e r i o d 1 B a l a n c e < / F i e l d N a m e >  
                     < B a l a n c e > 4 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 2 4 7 1 7 0 1 8 2 8 3 0 0 0 0 0 1 1 8 < / I D >  
             < T a r g e t A c c o u n t I D > - 7 3 7 9 8 6 8 2 0 0 9 9 9 9 9 8 5 9 0 < / T a r g e t A c c o u n t I D >  
             < C h a r t I D > - 7 3 7 9 8 6 8 2 0 0 9 9 9 9 9 8 6 9 7 < / C h a r t I D >  
             < I s L i n k e d > f a l s e < / I s L i n k e d >  
             < N u m b e r > 0 5 1 0 0 0 1 0 0 0 0 1 < / N u m b e r >  
             < N a m e > B A N K   C H A R G E S   -   A L L I E D   B A N K   L I M I T E D < / N a m e >  
             < A J E > 0 < / A J E >  
             < A d j u s t > 3 2 < / A d j u s t >  
             < R J E > 0 < / R J E >  
             < P r e l i m i n a r y > 3 2 < / P r e l i m i n a r y >  
             < F i n a l > 3 2 < / F i n a l >  
         < / A c c o u n t S t o r a g e >  
         < A c c o u n t S t o r a g e >  
             < A c c o u n t B a l a n c e s >  
                 < A c c o u n t B a l a n c e >  
                     < F i e l d N a m e > P r i o r P e r i o d 1 B a l a n c e < / F i e l d N a m e >  
                     < B a l a n c e > 5 1 < / B a l a n c e >  
                 < / A c c o u n t B a l a n c e >  
                 < A c c o u n t B a l a n c e >  
                     < F i e l d N a m e > P r i o r P e r i o d 2 B a l a n c e < / F i e l d N a m e >  
                     < B a l a n c e > 1 4 < / B a l a n c e >  
                 < / A c c o u n t B a l a n c e >  
                 < A c c o u n t B a l a n c e >  
                     < F i e l d N a m e > P r i o r P e r i o d 3 B a l a n c e < / F i e l d N a m e >  
                     < B a l a n c e > 1 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 - 7 3 7 9 8 6 8 2 0 0 9 9 9 9 9 8 4 8 7 < / I D >  
             < T a r g e t A c c o u n t I D > - 7 3 7 9 8 6 8 2 0 0 9 9 9 9 9 8 5 9 0 < / T a r g e t A c c o u n t I D >  
             < C h a r t I D > - 7 3 7 9 8 6 8 2 0 0 9 9 9 9 9 8 6 9 7 < / C h a r t I D >  
             < I s L i n k e d > f a l s e < / I s L i n k e d >  
             < N u m b e r > 0 5 1 0 0 0 1 0 0 0 0 3 < / N u m b e r >  
             < N a m e > B A N K   C H A R G E S   -   B A N K   A L   F A L A H   L I M I T E D < / N a m e >  
             < A J E > 0 < / A J E >  
             < A d j u s t > 1 5 < / A d j u s t >  
             < R J E > 0 < / R J E >  
             < P r e l i m i n a r y > 1 5 < / P r e l i m i n a r y >  
             < F i n a l > 1 5 < / 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 - 7 3 7 9 8 6 8 2 0 0 9 9 9 9 9 8 4 4 7 < / I D >  
             < T a r g e t A c c o u n t I D > - 7 3 7 9 8 6 8 2 0 0 9 9 9 9 9 8 5 9 0 < / T a r g e t A c c o u n t I D >  
             < C h a r t I D > - 7 3 7 9 8 6 8 2 0 0 9 9 9 9 9 8 6 9 7 < / C h a r t I D >  
             < I s L i n k e d > f a l s e < / I s L i n k e d >  
             < N u m b e r > 0 5 1 0 0 0 1 0 0 0 0 7 < / N u m b e r >  
             < N a m e > B A N K   C H A R G E S   -   F A Y S A L   B A N K   L I M I T E D < / N a m e >  
             < A J E > 0 < / A J E >  
             < A d j u s t > 0 < / A d j u s t >  
             < R J E > 0 < / R J E >  
             < P r e l i m i n a r y > 0 < / P r e l i m i n a r y >  
             < F i n a l > 0 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 2 4 7 7 8 1 8 0 9 3 5 0 0 0 0 0 6 1 8 < / I D >  
             < T a r g e t A c c o u n t I D > - 7 3 7 9 8 6 8 2 0 0 9 9 9 9 9 8 5 9 0 < / T a r g e t A c c o u n t I D >  
             < C h a r t I D > - 7 3 7 9 8 6 8 2 0 0 9 9 9 9 9 8 6 9 7 < / C h a r t I D >  
             < I s L i n k e d > f a l s e < / I s L i n k e d >  
             < N u m b e r > 0 5 1 0 0 0 1 0 0 0 0 8 < / N u m b e r >  
             < N a m e > B A N K   C H A R G E S   -   H A B I B   B A N K   L I M I T E D < / N a m e >  
             < A J E > 0 < / A J E >  
             < A d j u s t > 4 < / A d j u s t >  
             < R J E > 0 < / R J E >  
             < P r e l i m i n a r y > 4 < / P r e l i m i n a r y >  
             < F i n a l > 4 < / F i n a l >  
         < / A c c o u n t S t o r a g e >  
         < A c c o u n t S t o r a g e >  
             < A c c o u n t B a l a n c e s >  
                 < A c c o u n t B a l a n c e >  
                     < F i e l d N a m e > P r i o r P e r i o d 1 B a l a n c e < / F i e l d N a m e >  
                     < B a l a n c e > 3 2 8 < / B a l a n c e >  
                 < / A c c o u n t B a l a n c e >  
                 < A c c o u n t B a l a n c e >  
                     < F i e l d N a m e > P r i o r P e r i o d 2 B a l a n c e < / F i e l d N a m e >  
                     < B a l a n c e > 2 1 7 < / B a l a n c e >  
                 < / A c c o u n t B a l a n c e >  
                 < A c c o u n t B a l a n c e >  
                     < F i e l d N a m e > P r i o r P e r i o d 3 B a l a n c e < / F i e l d N a m e >  
                     < B a l a n c e > 1 1 6 < / 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 - 7 3 7 9 8 6 8 2 0 0 9 9 9 9 9 8 4 8 6 < / I D >  
             < T a r g e t A c c o u n t I D > - 7 3 7 9 8 6 8 2 0 0 9 9 9 9 9 8 5 9 0 < / T a r g e t A c c o u n t I D >  
             < C h a r t I D > - 7 3 7 9 8 6 8 2 0 0 9 9 9 9 9 8 6 9 7 < / C h a r t I D >  
             < I s L i n k e d > f a l s e < / I s L i n k e d >  
             < N u m b e r > 0 5 1 0 0 0 1 0 0 0 0 9 < / N u m b e r >  
             < N a m e > B A N K   C H A R G E S   -   H A B I B   M E T R O P O L I T A N   B A N K   L I M I T E D < / N a m e >  
             < A J E > 0 < / A J E >  
             < A d j u s t > 7 7 < / A d j u s t >  
             < R J E > 0 < / R J E >  
             < P r e l i m i n a r y > 7 7 < / P r e l i m i n a r y >  
             < F i n a l > 7 7 < / F i n a l >  
         < / A c c o u n t S t o r a g e >  
         < A c c o u n t S t o r a g e >  
             < A c c o u n t B a l a n c e s >  
                 < A c c o u n t B a l a n c e >  
                     < F i e l d N a m e > P r i o r P e r i o d 1 B a l a n c e < / F i e l d N a m e >  
                     < B a l a n c e > 4 8 < / B a l a n c e >  
                 < / A c c o u n t B a l a n c e >  
                 < A c c o u n t B a l a n c e >  
                     < F i e l d N a m e > P r i o r P e r i o d 2 B a l a n c e < / F i e l d N a m e >  
                     < B a l a n c e > 6 2 < / B a l a n c e >  
                 < / A c c o u n t B a l a n c e >  
                 < A c c o u n t B a l a n c e >  
                     < F i e l d N a m e > P r i o r P e r i o d 3 B a l a n c e < / F i e l d N a m e >  
                     < B a l a n c e > 4 4 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 - 7 3 7 9 8 6 8 2 0 0 9 9 9 9 9 8 4 8 5 < / I D >  
             < T a r g e t A c c o u n t I D > - 7 3 7 9 8 6 8 2 0 0 9 9 9 9 9 8 5 9 0 < / T a r g e t A c c o u n t I D >  
             < C h a r t I D > - 7 3 7 9 8 6 8 2 0 0 9 9 9 9 9 8 6 9 7 < / C h a r t I D >  
             < I s L i n k e d > f a l s e < / I s L i n k e d >  
             < N u m b e r > 0 5 1 0 0 0 1 0 0 0 1 0 < / N u m b e r >  
             < N a m e > B A N K   C H A R G E S   -   M C B   B A N K   L I M I T E D < / N a m e >  
             < A J E > 0 < / A J E >  
             < A d j u s t > 2 7 < / A d j u s t >  
             < R J E > 0 < / R J E >  
             < P r e l i m i n a r y > 2 7 < / P r e l i m i n a r y >  
             < F i n a l > 2 7 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 2 7 9 9 2 7 4 6 8 9 4 0 0 0 0 0 0 3 1 < / I D >  
             < T a r g e t A c c o u n t I D > - 7 3 7 9 8 6 8 2 0 0 9 9 9 9 9 8 5 9 0 < / T a r g e t A c c o u n t I D >  
             < C h a r t I D > - 7 3 7 9 8 6 8 2 0 0 9 9 9 9 9 8 6 9 7 < / C h a r t I D >  
             < I s L i n k e d > f a l s e < / I s L i n k e d >  
             < N u m b e r > 0 5 1 0 0 0 1 0 0 0 1 2 < / N u m b e r >  
             < N a m e > B A N K   C H A R G E S   -   N A T I O N A L   B A N K   L I M I T E D < / N a m e >  
             < A J E > 0 < / A J E >  
             < A d j u s t > 1 < / A d j u s t >  
             < R J E > 0 < / R J E >  
             < P r e l i m i n a r y > 1 < / P r e l i m i n a r y >  
             < F i n a l > 1 < / 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 3 6 < / B a l a n c e >  
                 < / A c c o u n t B a l a n c e >  
                 < A c c o u n t B a l a n c e >  
                     < F i e l d N a m e > P r i o r P e r i o d 3 B a l a n c e < / F i e l d N a m e >  
                     < B a l a n c e > 2 0 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 - 7 3 7 9 8 6 8 2 0 0 9 9 9 9 9 8 4 8 4 < / I D >  
             < T a r g e t A c c o u n t I D > - 7 3 7 9 8 6 8 2 0 0 9 9 9 9 9 8 5 9 0 < / T a r g e t A c c o u n t I D >  
             < C h a r t I D > - 7 3 7 9 8 6 8 2 0 0 9 9 9 9 9 8 6 9 7 < / C h a r t I D >  
             < I s L i n k e d > f a l s e < / I s L i n k e d >  
             < N u m b e r > 0 5 1 0 0 0 1 0 0 0 1 3 < / N u m b e r >  
             < N a m e > B A N K   C H A R G E S   -   N I B   B A N K   L I M I T E D < / N a m e >  
             < A J E > 0 < / A J E >  
             < A d j u s t > 0 < / A d j u s t >  
             < R J E > 0 < / R J E >  
             < P r e l i m i n a r y > 0 < / P r e l i m i n a r y >  
             < F i n a l > 0 < / F i n a l >  
         < / A c c o u n t S t o r a g e >  
         < A c c o u n t S t o r a g e >  
             < A c c o u n t B a l a n c e s >  
                 < A c c o u n t B a l a n c e >  
                     < F i e l d N a m e > P r i o r P e r i o d 1 B a l a n c e < / F i e l d N a m e >  
                     < B a l a n c e > 2 2 < / B a l a n c e >  
                 < / A c c o u n t B a l a n c e >  
                 < A c c o u n t B a l a n c e >  
                     < F i e l d N a m e > P r i o r P e r i o d 2 B a l a n c e < / F i e l d N a m e >  
                     < B a l a n c e > 1 0 < / B a l a n c e >  
                 < / A c c o u n t B a l a n c e >  
                 < A c c o u n t B a l a n c e >  
                     < F i e l d N a m e > P r i o r P e r i o d 3 B a l a n c e < / F i e l d N a m e >  
                     < B a l a n c e > 3 < / 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 - 7 3 7 9 8 6 8 2 0 0 9 9 9 9 9 8 4 7 0 < / I D >  
             < T a r g e t A c c o u n t I D > - 7 3 7 9 8 6 8 2 0 0 9 9 9 9 9 8 5 9 0 < / T a r g e t A c c o u n t I D >  
             < C h a r t I D > - 7 3 7 9 8 6 8 2 0 0 9 9 9 9 9 8 6 9 7 < / C h a r t I D >  
             < I s L i n k e d > f a l s e < / I s L i n k e d >  
             < N u m b e r > 0 5 1 0 0 0 1 0 0 0 1 6 < / N u m b e r >  
             < N a m e > B A N K   C H A R G E S   -   U N I T E D   B A N K   L I M I T E D < / N a m e >  
             < A J E > 0 < / A J E >  
             < A d j u s t > 1 < / A d j u s t >  
             < R J E > 0 < / R J E >  
             < P r e l i m i n a r y > 1 < / P r e l i m i n a r y >  
             < F i n a l > 1 < / 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 2 4 7 1 7 0 1 8 2 8 3 0 0 0 0 0 1 1 9 < / I D >  
             < T a r g e t A c c o u n t I D > - 7 3 7 9 8 6 8 2 0 0 9 9 9 9 9 8 5 9 0 < / T a r g e t A c c o u n t I D >  
             < C h a r t I D > - 7 3 7 9 8 6 8 2 0 0 9 9 9 9 9 8 6 9 7 < / C h a r t I D >  
             < I s L i n k e d > f a l s e < / I s L i n k e d >  
             < N u m b e r > 0 5 1 0 0 0 1 0 0 0 1 7 < / N u m b e r >  
             < N a m e > B a n k   C h a r g e s   -   B a n k   A l - H a b i b   L i m i t e d < / N a m e >  
             < A J E > 0 < / A J E >  
             < A d j u s t > 0 < / A d j u s t >  
             < R J E > 0 < / R J E >  
             < P r e l i m i n a r y > 0 < / P r e l i m i n a r y >  
             < F i n a l > 0 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 2 4 7 1 7 0 1 8 2 8 3 0 0 0 0 0 1 2 0 < / I D >  
             < T a r g e t A c c o u n t I D > - 7 3 7 9 8 6 8 2 0 0 9 9 9 9 9 8 5 9 0 < / T a r g e t A c c o u n t I D >  
             < C h a r t I D > - 7 3 7 9 8 6 8 2 0 0 9 9 9 9 9 8 6 9 7 < / C h a r t I D >  
             < I s L i n k e d > f a l s e < / I s L i n k e d >  
             < N u m b e r > 0 5 1 0 0 0 1 0 0 0 2 0 < / N u m b e r >  
             < N a m e > B a n k   C h a r g e s   -   Z a r a i   T a r a q i a t i   B a n k   L i m i t e d < / N a m e >  
             < A J E > 0 < / A J E >  
             < A d j u s t > 0 < / A d j u s t >  
             < R J E > 0 < / R J E >  
             < P r e l i m i n a r y > 0 < / P r e l i m i n a r y >  
             < F i n a l > 0 < / F i n a l >  
         < / A c c o u n t S t o r a g e >  
         < A c c o u n t S t o r a g e >  
             < A c c o u n t B a l a n c e s >  
                 < A c c o u n t B a l a n c e >  
                     < F i e l d N a m e > P r i o r P e r i o d 1 B a l a n c e < / F i e l d N a m e >  
                     < B a l a n c e > 5 7 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 2 4 7 1 7 0 1 8 2 8 3 0 0 0 0 0 1 2 1 < / I D >  
             < T a r g e t A c c o u n t I D > - 7 3 7 9 8 6 8 2 0 0 9 9 9 9 9 8 5 9 0 < / T a r g e t A c c o u n t I D >  
             < C h a r t I D > - 7 3 7 9 8 6 8 2 0 0 9 9 9 9 9 8 6 9 7 < / C h a r t I D >  
             < I s L i n k e d > f a l s e < / I s L i n k e d >  
             < N u m b e r > 0 5 1 0 0 0 1 0 0 0 2 1 < / N u m b e r >  
             < N a m e > B a n k   C h a r g e s   -   J S   B a n k   L i m i t e d < / N a m e >  
             < A J E > 0 < / A J E >  
             < A d j u s t > 2 7 < / A d j u s t >  
             < R J E > 0 < / R J E >  
             < P r e l i m i n a r y > 2 7 < / P r e l i m i n a r y >  
             < F i n a l > 2 7 < / 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 2 4 7 1 7 0 1 8 2 8 3 0 0 0 0 0 1 2 2 < / I D >  
             < T a r g e t A c c o u n t I D > - 7 3 7 9 8 6 8 2 0 0 9 9 9 9 9 8 5 9 0 < / T a r g e t A c c o u n t I D >  
             < C h a r t I D > - 7 3 7 9 8 6 8 2 0 0 9 9 9 9 9 8 6 9 7 < / C h a r t I D >  
             < I s L i n k e d > f a l s e < / I s L i n k e d >  
             < N u m b e r > 0 5 1 0 0 0 1 0 0 0 2 2 < / N u m b e r >  
             < N a m e > B a n k   C h a r g e s   -   N r s p   M i c r o f i n a n c e   B a n k   L i m i t e d < / N a m e >  
             < A J E > 0 < / A J E >  
             < A d j u s t > 1 < / A d j u s t >  
             < R J E > 0 < / R J E >  
             < P r e l i m i n a r y > 1 < / P r e l i m i n a r y >  
             < F i n a l > 1 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 2 4 7 1 7 0 1 8 2 8 3 0 0 0 0 0 1 2 3 < / I D >  
             < T a r g e t A c c o u n t I D > - 7 3 7 9 8 6 8 2 0 0 9 9 9 9 9 8 5 9 0 < / T a r g e t A c c o u n t I D >  
             < C h a r t I D > - 7 3 7 9 8 6 8 2 0 0 9 9 9 9 9 8 6 9 7 < / C h a r t I D >  
             < I s L i n k e d > f a l s e < / I s L i n k e d >  
             < N u m b e r > 0 5 1 0 0 0 1 0 0 0 2 3 < / N u m b e r >  
             < N a m e > B a n k   C h a r g e s   -   M o b i l i n k 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 2 4 7 1 7 0 1 8 2 8 3 0 0 0 0 0 1 2 4 < / I D >  
             < T a r g e t A c c o u n t I D > - 7 3 7 9 8 6 8 2 0 0 9 9 9 9 9 8 5 9 0 < / T a r g e t A c c o u n t I D >  
             < C h a r t I D > - 7 3 7 9 8 6 8 2 0 0 9 9 9 9 9 8 6 9 7 < / C h a r t I D >  
             < I s L i n k e d > f a l s e < / I s L i n k e d >  
             < N u m b e r > 0 5 1 0 0 0 1 0 0 0 2 4 < / N u m b e r >  
             < N a m e > B a n k   C h a r g e s   -   U 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 2 4 7 1 7 0 1 8 2 8 3 0 0 0 0 0 1 2 5 < / I D >  
             < T a r g e t A c c o u n t I D > - 7 3 7 9 8 6 8 2 0 0 9 9 9 9 9 8 5 9 0 < / T a r g e t A c c o u n t I D >  
             < C h a r t I D > - 7 3 7 9 8 6 8 2 0 0 9 9 9 9 9 8 6 9 7 < / C h a r t I D >  
             < I s L i n k e d > f a l s e < / I s L i n k e d >  
             < N u m b e r > 0 5 1 0 0 0 1 0 0 0 2 5 < / N u m b e r >  
             < N a m e > B a n k   C h a r g e s   -   K h u s h a l i 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 2 4 7 1 7 0 1 8 2 8 3 0 0 0 0 0 1 2 6 < / I D >  
             < T a r g e t A c c o u n t I D > - 7 3 7 9 8 6 8 2 0 0 9 9 9 9 9 8 5 9 0 < / T a r g e t A c c o u n t I D >  
             < C h a r t I D > - 7 3 7 9 8 6 8 2 0 0 9 9 9 9 9 8 6 9 7 < / C h a r t I D >  
             < I s L i n k e d > f a l s e < / I s L i n k e d >  
             < N u m b e r > 0 5 1 0 0 0 1 0 0 0 2 6 < / N u m b e r >  
             < N a m e > B a n k   C h a r g e s   -   T a m e e r   M i c r o f i n a n c e   B a n k < / N a m e >  
             < A J E > 0 < / A J E >  
             < A d j u s t > 2 < / A d j u s t >  
             < R J E > 0 < / R J E >  
             < P r e l i m i n a r y > 2 < / P r e l i m i n a r y >  
             < F i n a l > 2 < / 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 2 4 7 1 7 0 1 8 2 8 3 0 0 0 0 0 1 2 7 < / I D >  
             < T a r g e t A c c o u n t I D > - 7 3 7 9 8 6 8 2 0 0 9 9 9 9 9 8 5 9 0 < / T a r g e t A c c o u n t I D >  
             < C h a r t I D > - 7 3 7 9 8 6 8 2 0 0 9 9 9 9 9 8 6 9 7 < / C h a r t I D >  
             < I s L i n k e d > f a l s e < / I s L i n k e d >  
             < N u m b e r > 0 5 1 0 0 0 1 0 0 0 2 8 < / N u m b e r >  
             < N a m e > B a n k   C h a r g e s   -   F i n c a   M i c r o f i n a n c e   B a n k < / 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 2 7 9 9 2 7 4 6 8 9 4 0 0 0 0 0 0 3 2 < / I D >  
             < T a r g e t A c c o u n t I D > - 7 3 7 9 8 6 8 2 0 0 9 9 9 9 9 8 5 9 0 < / T a r g e t A c c o u n t I D >  
             < C h a r t I D > - 7 3 7 9 8 6 8 2 0 0 9 9 9 9 9 8 6 9 7 < / C h a r t I D >  
             < I s L i n k e d > f a l s e < / I s L i n k e d >  
             < N u m b e r > 0 5 1 0 0 0 1 0 0 0 3 0 < / N u m b e r >  
             < N a m e > B a n k   C h a r g e s   -   F i r s t   M i c r o   F i n a n c e   B a n k < / N a m e >  
             < A J E > 0 < / A J E >  
             < A d j u s t > 1 < / A d j u s t >  
             < R J E > 0 < / R J E >  
             < P r e l i m i n a r y > 1 < / P r e l i m i n a r y >  
             < F i n a l > 1 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 2 7 9 9 2 7 4 6 8 9 4 0 0 0 0 0 0 3 3 < / I D >  
             < T a r g e t A c c o u n t I D > - 7 3 7 9 8 6 8 2 0 0 9 9 9 9 9 8 5 9 0 < / T a r g e t A c c o u n t I D >  
             < C h a r t I D > - 7 3 7 9 8 6 8 2 0 0 9 9 9 9 9 8 6 9 7 < / C h a r t I D >  
             < I s L i n k e d > f a l s e < / I s L i n k e d >  
             < N u m b e r > 0 5 1 0 0 0 1 0 0 0 3 1 < / N u m b e r >  
             < N a m e > B a n k   C h a r g e s   -   S i l k   B a n k   L i m i t e d < / N a m e >  
             < A J E > 0 < / A J E >  
             < A d j u s t > 3 0 < / A d j u s t >  
             < R J E > 0 < / R J E >  
             < P r e l i m i n a r y > 3 0 < / P r e l i m i n a r y >  
             < F i n a l > 3 0 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 - 7 3 7 9 8 6 8 2 0 0 9 9 9 9 9 8 4 4 8 < / I D >  
             < T a r g e t A c c o u n t I D > - 7 3 7 9 8 6 8 2 0 0 9 9 9 9 9 8 6 8 6 < / T a r g e t A c c o u n t I D >  
             < C h a r t I D > - 7 3 7 9 8 6 8 2 0 0 9 9 9 9 9 8 6 9 7 < / C h a r t I D >  
             < I s L i n k e d > f a l s e < / I s L i n k e d >  
             < N u m b e r > 0 5 0 6 0 0 3 0 0 0 0 5 < / N u m b e r >  
             < N a m e > F E E   & a m p ;   S U B S C R I P   A N N U A L   L I S T I N G   F E E   L S E < / N a m e >  
             < A J E > 0 < / A J E >  
             < A d j u s t > 0 < / A d j u s t >  
             < R J E > 0 < / R J E >  
             < P r e l i m i n a r y > 0 < / P r e l i m i n a r y >  
             < F i n a l > 0 < / F i n a l >  
         < / A c c o u n t S t o r a g e >  
         < A c c o u n t S t o r a g e >  
             < A c c o u n t B a l a n c e s >  
                 < A c c o u n t B a l a n c e >  
                     < F i e l d N a m e > P r i o r P e r i o d 1 B a l a n c e < / F i e l d N a m e >  
                     < B a l a n c e > 2 8 8 < / B a l a n c e >  
                 < / A c c o u n t B a l a n c e >  
                 < A c c o u n t B a l a n c e >  
                     < F i e l d N a m e > P r i o r P e r i o d 2 B a l a n c e < / F i e l d N a m e >  
                     < B a l a n c e > 2 6 6 < / B a l a n c e >  
                 < / A c c o u n t B a l a n c e >  
                 < A c c o u n t B a l a n c e >  
                     < F i e l d N a m e > P r i o r P e r i o d 3 B a l a n c e < / F i e l d N a m e >  
                     < B a l a n c e > 2 2 7 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 - 7 3 7 9 8 6 8 2 0 0 9 9 9 9 9 8 4 8 9 < / I D >  
             < T a r g e t A c c o u n t I D > - 7 3 7 9 8 6 8 2 0 0 9 9 9 9 9 8 6 8 6 < / T a r g e t A c c o u n t I D >  
             < C h a r t I D > - 7 3 7 9 8 6 8 2 0 0 9 9 9 9 9 8 6 9 7 < / C h a r t I D >  
             < I s L i n k e d > f a l s e < / I s L i n k e d >  
             < N u m b e r > 0 5 0 6 0 0 3 0 0 0 0 6 < / N u m b e r >  
             < N a m e > F E E   & a m p ;   S U B S C R I P A N N U A L   P A C R A   F E E < / N a m e >  
             < A J E > 0 < / A J E >  
             < A d j u s t > 3 0 1 < / A d j u s t >  
             < R J E > 0 < / R J E >  
             < P r e l i m i n a r y > 3 0 1 < / P r e l i m i n a r y >  
             < F i n a l > 3 0 1 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 2 5 < / B a l a n c e >  
                 < / A c c o u n t B a l a n c e >  
                 < A c c o u n t B a l a n c e >  
                     < F i e l d N a m e > P r i o r P e r i o d 3 B a l a n c e < / F i e l d N a m e >  
                     < B a l a n c e > 2 5 < / 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 - 7 3 7 9 8 6 8 2 0 0 9 9 9 9 9 8 4 6 0 < / I D >  
             < T a r g e t A c c o u n t I D > - 7 3 7 9 8 6 8 2 0 0 9 9 9 9 9 8 6 8 6 < / T a r g e t A c c o u n t I D >  
             < C h a r t I D > - 7 3 7 9 8 6 8 2 0 0 9 9 9 9 9 8 6 9 7 < / C h a r t I D >  
             < I s L i n k e d > f a l s e < / I s L i n k e d >  
             < N u m b e r > 0 5 0 6 0 0 3 0 0 0 0 8 < / N u m b e r >  
             < N a m e > F e e   & a m p ;   S u b s c r i p a n n u a l   L i s t i n g   F e e   I s e < / N a m e >  
             < A J E > 0 < / A J E >  
             < A d j u s t > 0 < / A d j u s t >  
             < R J E > 0 < / R J E >  
             < P r e l i m i n a r y > 0 < / P r e l i m i n a r y >  
             < F i n a l > 0 < / F i n a l >  
         < / A c c o u n t S t o r a g e >  
         < A c c o u n t S t o r a g e >  
             < A c c o u n t B a l a n c e s >  
                 < A c c o u n t B a l a n c e >  
                     < F i e l d N a m e > P r i o r P e r i o d 1 B a l a n c e < / F i e l d N a m e >  
                     < B a l a n c e > 5 5 < / 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 - 7 3 7 9 8 6 8 2 0 0 9 9 9 9 9 8 4 3 7 < / I D >  
             < T a r g e t A c c o u n t I D > - 7 3 7 9 8 6 8 2 0 0 9 9 9 9 9 8 6 8 6 < / T a r g e t A c c o u n t I D >  
             < C h a r t I D > - 7 3 7 9 8 6 8 2 0 0 9 9 9 9 9 8 6 9 7 < / C h a r t I D >  
             < I s L i n k e d > f a l s e < / I s L i n k e d >  
             < N u m b e r > 0 5 0 6 0 0 3 0 0 0 0 9 < / N u m b e r >  
             < N a m e > F e e   & a m p ;   S u b s c r i p t i o n   A n n u a l   L i s t i n g   F e e   P s x < / N a m e >  
             < A J E > 0 < / A J E >  
             < A d j u s t > 2 8 < / A d j u s t >  
             < R J E > 0 < / R J E >  
             < P r e l i m i n a r y > 2 8 < / P r e l i m i n a r y >  
             < F i n a l > 2 8 < / F i n a l >  
         < / A c c o u n t S t o r a g e >  
         < A c c o u n t S t o r a g e >  
             < A c c o u n t B a l a n c e s >  
                 < A c c o u n t B a l a n c e >  
                     < F i e l d N a m e > P r i o r P e r i o d 1 B a l a n c e < / F i e l d N a m e >  
                     < B a l a n c e > 2 5 6 < / 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 2 4 7 1 7 0 1 8 2 8 3 0 0 0 0 0 1 1 7 < / I D >  
             < T a r g e t A c c o u n t I D > - 7 3 7 9 8 6 8 2 0 0 9 9 9 9 9 8 6 8 6 < / T a r g e t A c c o u n t I D >  
             < C h a r t I D > - 7 3 7 9 8 6 8 2 0 0 9 9 9 9 9 8 6 9 7 < / C h a r t I D >  
             < I s L i n k e d > f a l s e < / I s L i n k e d >  
             < N u m b e r > 0 5 0 6 0 0 3 0 0 0 1 0 < / N u m b e r >  
             < N a m e > F e e   & a m p ;   S u b s c r i p t i o n   A n n u a l   M t s   C h a r g e s < / N a m e >  
             < A J E > 0 < / A J E >  
             < A d j u s t > 1 7 7 < / A d j u s t >  
             < R J E > 0 < / R J E >  
             < P r e l i m i n a r y > 1 7 7 < / P r e l i m i n a r y >  
             < F i n a l > 1 7 7 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 8 < / 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 - 7 3 7 9 8 6 8 2 0 0 9 9 9 9 9 8 4 7 2 < / I D >  
             < T a r g e t A c c o u n t I D > - 7 3 7 9 8 6 8 2 0 0 9 9 9 9 9 8 6 8 6 < / T a r g e t A c c o u n t I D >  
             < C h a r t I D > - 7 3 7 9 8 6 8 2 0 0 9 9 9 9 9 8 6 9 7 < / C h a r t I D >  
             < I s L i n k e d > f a l s e < / I s L i n k e d >  
             < N u m b e r > 0 5 0 6 0 0 4 0 0 0 0 1 < / N u m b e r >  
             < N a m e > S i n d h   S a l e s   T a x   R e g i s t r a t i o n   C h a r g e s < / N a m e >  
             < A J E > 0 < / A J E >  
             < A d j u s t > 0 < / A d j u s t >  
             < R J E > 0 < / R J E >  
             < P r e l i m i n a r y > 0 < / P r e l i m i n a r y >  
             < F i n a l > 0 < / F i n a l >  
         < / A c c o u n t S t o r a g e >  
         < A c c o u n t S t o r a g e >  
             < A c c o u n t B a l a n c e s >  
                 < A c c o u n t B a l a n c e >  
                     < F i e l d N a m e > P r i o r P e r i o d 1 B a l a n c e < / F i e l d N a m e >  
                     < B a l a n c e > 1 9 2 9 < / 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 2 4 7 1 7 0 1 8 2 8 3 0 0 0 0 0 1 1 4 < / I D >  
             < T a r g e t A c c o u n t I D > - 7 3 7 9 8 6 8 2 0 0 9 9 9 9 9 8 5 7 6 < / T a r g e t A c c o u n t I D >  
             < C h a r t I D > - 7 3 7 9 8 6 8 2 0 0 9 9 9 9 9 8 6 9 7 < / C h a r t I D >  
             < I s L i n k e d > f a l s e < / I s L i n k e d >  
             < N u m b e r > 0 5 0 2 0 0 5 0 0 0 1 < / N u m b e r >  
             < N a m e > L a g a   A n d   L e v y   C h a r g e s   O n   M t s < / N a m e >  
             < A J E > 0 < / A J E >  
             < A d j u s t > 1 4 4 4 < / A d j u s t >  
             < R J E > 0 < / R J E >  
             < P r e l i m i n a r y > 1 4 4 4 < / P r e l i m i n a r y >  
             < F i n a l > 1 4 4 4 < / F i n a l >  
         < / A c c o u n t S t o r a g e >  
         < A c c o u n t S t o r a g e >  
             < A c c o u n t B a l a n c e s >  
                 < A c c o u n t B a l a n c e >  
                     < F i e l d N a m e > P r i o r P e r i o d 1 B a l a n c e < / F i e l d N a m e >  
                     < B a l a n c e > 1 4 7 < / B a l a n c e >  
                 < / A c c o u n t B a l a n c e >  
                 < A c c o u n t B a l a n c e >  
                     < F i e l d N a m e > P r i o r P e r i o d 2 B a l a n c e < / F i e l d N a m e >  
                     < B a l a n c e > 1 3 6 < / B a l a n c e >  
                 < / A c c o u n t B a l a n c e >  
                 < A c c o u n t B a l a n c e >  
                     < F i e l d N a m e > P r i o r P e r i o d 3 B a l a n c e < / F i e l d N a m e >  
                     < B a l a n c e > 1 3 9 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 - 7 3 7 9 8 6 8 2 0 0 9 9 9 9 9 8 4 8 8 < / I D >  
             < T a r g e t A c c o u n t I D > - 7 3 7 9 8 6 8 2 0 0 9 9 9 9 9 8 6 8 3 < / T a r g e t A c c o u n t I D >  
             < C h a r t I D > - 7 3 7 9 8 6 8 2 0 0 9 9 9 9 9 8 6 9 7 < / C h a r t I D >  
             < I s L i n k e d > f a l s e < / I s L i n k e d >  
             < N u m b e r > 0 5 0 7 0 0 1 0 0 0 0 1 < / N u m b e r >  
             < N a m e > P R I N T I N G   O F   A C C O U N T S   C H A R G E S < / N a m e >  
             < A J E > 0 < / A J E >  
             < A d j u s t > 4 3 < / A d j u s t >  
             < R J E > 0 < / R J E >  
             < P r e l i m i n a r y > 4 3 < / P r e l i m i n a r y >  
             < F i n a l > 4 3 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 1 1 < / B a l a n c e >  
                 < / A c c o u n t B a l a n c e >  
                 < A c c o u n t B a l a n c e >  
                     < F i e l d N a m e > P r i o r P e r i o d 3 B a l a n c e < / F i e l d N a m e >  
                     < B a l a n c e > 9 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 - 7 3 7 9 8 6 8 2 0 0 9 9 9 9 9 8 4 7 1 < / I D >  
             < T a r g e t A c c o u n t I D > - 7 3 7 9 8 6 8 2 0 0 9 9 9 9 9 8 6 8 3 < / T a r g e t A c c o u n t I D >  
             < C h a r t I D > - 7 3 7 9 8 6 8 2 0 0 9 9 9 9 9 8 6 9 7 < / C h a r t I D >  
             < I s L i n k e d > f a l s e < / I s L i n k e d >  
             < N u m b e r > 0 5 0 7 0 0 2 0 0 0 0 1 < / N u m b e r >  
             < N a m e > D E S P A T C H   A N D   C O U R I E R   C H A R G E S   O F   A C C O U N T S 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 - 3 < / B a l a n c e >  
                 < / A c c o u n t B a l a n c e >  
                 < A c c o u n t B a l a n c e >  
                     < F i e l d N a m e > P r i o r P e r i o d 3 B a l a n c e < / F i e l d N a m e >  
                     < B a l a n c e > - 1 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 2 2 9 9 7 6 8 4 7 4 9 0 0 0 1 3 1 0 5 < / I D >  
             < T a r g e t A c c o u n t I D > - 7 3 7 9 8 6 8 2 0 0 9 9 9 9 9 8 6 8 3 < / T a r g e t A c c o u n t I D >  
             < C h a r t I D > - 7 3 7 9 8 6 8 2 0 0 9 9 9 9 9 8 6 9 7 < / C h a r t I D >  
             < I s L i n k e d > f a l s e < / I s L i n k e d >  
             < N u m b e r > D T 2 < / N u m b e r >  
             < N a m e > R o u n d i n g   d i f f e r e n c e < / N a m e >  
             < A J E > 0 < / A J E >  
             < A d j u s t > - 2 < / A d j u s t >  
             < R J E > 0 < / R J E >  
             < P r e l i m i n a r y > - 2 < / P r e l i m i n a r y >  
             < F i n a l > - 2 < / F i n a l >  
         < / A c c o u n t S t o r a g e >  
         < A c c o u n t S t o r a g e >  
             < A c c o u n t B a l a n c e s >  
                 < A c c o u n t B a l a n c e >  
                     < F i e l d N a m e > P r i o r P e r i o d 1 B a l a n c e < / F i e l d N a m e >  
                     < B a l a n c e > 5 5 2 < / B a l a n c e >  
                 < / A c c o u n t B a l a n c e >  
                 < A c c o u n t B a l a n c e >  
                     < F i e l d N a m e > P r i o r P e r i o d 2 B a l a n c e < / F i e l d N a m e >  
                     < B a l a n c e > 5 2 8 < / B a l a n c e >  
                 < / A c c o u n t B a l a n c e >  
                 < A c c o u n t B a l a n c e >  
                     < F i e l d N a m e > P r i o r P e r i o d 3 B a l a n c e < / F i e l d N a m e >  
                     < B a l a n c e > 5 0 2 < / 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 - 7 3 7 9 8 6 8 2 0 0 9 9 9 9 9 8 4 9 1 < / I D >  
             < T a r g e t A c c o u n t I D > - 7 3 7 9 8 6 8 2 0 0 9 9 9 9 9 8 6 8 2 < / T a r g e t A c c o u n t I D >  
             < C h a r t I D > - 7 3 7 9 8 6 8 2 0 0 9 9 9 9 9 8 6 9 7 < / C h a r t I D >  
             < I s L i n k e d > f a l s e < / I s L i n k e d >  
             < N u m b e r > 0 5 0 6 0 0 1 0 0 0 0 1 < / N u m b e r >  
             < N a m e > A U D I T   F E E   E X P E N S E < / N a m e >  
             < A J E > 0 < / A J E >  
             < A d j u s t > 5 8 9 < / A d j u s t >  
             < R J E > 0 < / R J E >  
             < P r e l i m i n a r y > 5 8 9 < / P r e l i m i n a r y >  
             < F i n a l > 5 8 9 < / F i n a l >  
         < / A c c o u n t S t o r a g e >  
         < A c c o u n t S t o r a g e >  
             < A c c o u n t B a l a n c e s >  
                 < A c c o u n t B a l a n c e >  
                     < F i e l d N a m e > P r i o r P e r i o d 1 B a l a n c e < / F i e l d N a m e >  
                     < B a l a n c e > 4 0 < / B a l a n c e >  
                 < / A c c o u n t B a l a n c e >  
                 < A c c o u n t B a l a n c e >  
                     < F i e l d N a m e > P r i o r P e r i o d 2 B a l a n c e < / F i e l d N a m e >  
                     < B a l a n c e > 6 5 < / B a l a n c e >  
                 < / A c c o u n t B a l a n c e >  
                 < A c c o u n t B a l a n c e >  
                     < F i e l d N a m e > P r i o r P e r i o d 3 B a l a n c e < / F i e l d N a m e >  
                     < B a l a n c e > 2 7 < / 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 - 7 3 7 9 8 6 8 2 0 0 9 9 9 9 9 8 4 7 3 < / I D >  
             < T a r g e t A c c o u n t I D > - 7 3 7 9 8 6 8 2 0 0 9 9 9 9 9 8 6 8 2 < / T a r g e t A c c o u n t I D >  
             < C h a r t I D > - 7 3 7 9 8 6 8 2 0 0 9 9 9 9 9 8 6 9 7 < / C h a r t I D >  
             < I s L i n k e d > f a l s e < / I s L i n k e d >  
             < N u m b e r > 0 5 0 6 0 0 1 0 0 0 0 2 < / N u m b e r >  
             < N a m e > O U T   O F   P O C K E T   E X P E N S E S < / N a m e >  
             < A J E > 0 < / A J E >  
             < A d j u s t > 0 < / A d j u s t >  
             < R J E > 0 < / R J E >  
             < P r e l i m i n a r y > 0 < / P r e l i m i n a r y >  
             < F i n a l > 0 < / F i n a l >  
         < / A c c o u n t S t o r a g e >  
         < A c c o u n t S t o r a g e >  
             < A c c o u n t B a l a n c e s >  
                 < A c c o u n t B a l a n c e >  
                     < F i e l d N a m e > P r i o r P e r i o d 1 B a l a n c e < / F i e l d N a m e >  
                     < B a l a n c e > 1 3 0 3 < / B a l a n c e >  
                 < / A c c o u n t B a l a n c e >  
                 < A c c o u n t B a l a n c e >  
                     < F i e l d N a m e > P r i o r P e r i o d 2 B a l a n c e < / F i e l d N a m e >  
                     < B a l a n c e > 0 < / B a l a n c e >  
                 < / A c c o u n t B a l a n c e >  
                 < A c c o u n t B a l a n c e >  
                     < F i e l d N a m e > P r i o r P e r i o d 3 B a l a n c e < / F i e l d N a m e >  
                     < B a l a n c e > 2 4 0 1 < / 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 - 7 3 7 9 8 6 8 2 0 0 9 9 9 9 9 8 4 9 2 < / I D >  
             < T a r g e t A c c o u n t I D > - 7 3 7 9 8 6 8 2 0 0 9 9 9 9 9 8 5 8 8 < / T a r g e t A c c o u n t I D >  
             < C h a r t I D > - 7 3 7 9 8 6 8 2 0 0 9 9 9 9 9 8 6 9 7 < / C h a r t I D >  
             < I s L i n k e d > f a l s e < / I s L i n k e d >  
             < N u m b e r > 0 5 0 5 0 0 1 0 0 0 0 1 < / N u m b e r >  
             < N a m e > T A X A T I O N W O R K E R S   W E L F A R E   F U N D   ( W W F ) < / N a m e >  
             < A J E > 0 < / A J E >  
             < A d j u s t > 1 8 6 3 < / A d j u s t >  
             < R J E > 0 < / R J E >  
             < P r e l i m i n a r y > 1 8 6 3 < / P r e l i m i n a r y >  
             < F i n a l > 1 8 6 3 < / F i n a l >  
         < / A c c o u n t S t o r a g e >  
         < A c c o u n t S t o r a g e >  
             < A c c o u n t B a l a n c e s >  
                 < A c c o u n t B a l a n c e >  
                     < F i e l d N a m e > P r i o r P e r i o d 1 B a l a n c e < / F i e l d N a m e >  
                     < B a l a n c e > - 1 6 3 5 7 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 2 4 7 1 7 0 1 8 2 8 3 0 0 0 0 0 1 1 6 < / I D >  
             < T a r g e t A c c o u n t I D > - 7 3 7 9 8 6 8 2 0 0 9 9 9 9 9 8 5 8 8 < / T a r g e t A c c o u n t I D >  
             < C h a r t I D > - 7 3 7 9 8 6 8 2 0 0 9 9 9 9 9 8 6 9 7 < / C h a r t I D >  
             < I s L i n k e d > f a l s e < / I s L i n k e d >  
             < N u m b e r > 0 5 0 5 0 0 1 0 0 0 0 2 < / N u m b e r >  
             < N a m e > T a x a t i o n w o r k e r s   W e l f a r e   F u n d   ( W w f )   -   R e v e r s a l < / N a m e >  
             < A J E > 0 < / A J E >  
             < A d j u s t > 0 < / A d j u s t >  
             < R J E > 0 < / R J E >  
             < P r e l i m i n a r y > 0 < / P r e l i m i n a r y >  
             < F i n a l > 0 < / F i n a l >  
         < / A c c o u n t S t o r a g e >  
         < A c c o u n t S t o r a g e >  
             < A c c o u n t B a l a n c e s >  
                 < A c c o u n t B a l a n c e >  
                     < F i e l d N a m e > P r i o r P e r i o d 1 B a l a n c e < / F i e l d N a m e >  
                     < B a l a n c e > 3 8 0 < / B a l a n c e >  
                 < / A c c o u n t B a l a n c e >  
                 < A c c o u n t B a l a n c e >  
                     < F i e l d N a m e > P r i o r P e r i o d 2 B a l a n c e < / F i e l d N a m e >  
                     < B a l a n c e > 5 0 3 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 - 7 3 7 9 8 6 8 2 0 0 9 9 9 9 9 8 4 5 0 < / I D >  
             < T a r g e t A c c o u n t I D > - 7 3 7 9 8 6 8 2 0 0 9 9 9 9 9 8 4 4 6 < / T a r g e t A c c o u n t I D >  
             < C h a r t I D > - 7 3 7 9 8 6 8 2 0 0 9 9 9 9 9 8 6 9 7 < / C h a r t I D >  
             < I s L i n k e d > f a l s e < / I s L i n k e d >  
             < N u m b e r > 0 5 0 1 0 0 2 0 0 0 0 2 < / N u m b e r >  
             < N a m e > S a l e s   T a x   O n   T r u s t e e   F e e < / N a m e >  
             < A J E > 0 < / A J E >  
             < A d j u s t > 3 1 4 < / A d j u s t >  
             < R J E > 0 < / R J E >  
             < P r e l i m i n a r y > 3 1 4 < / P r e l i m i n a r y >  
             < F i n a l > 3 1 4 < / F i n a l >  
         < / A c c o u n t S t o r a g e >  
         < A c c o u n t S t o r a g e >  
             < A c c o u n t B a l a n c e s >  
                 < A c c o u n t B a l a n c e >  
                     < F i e l d N a m e > P r i o r P e r i o d 1 B a l a n c e < / F i e l d N a m e >  
                     < B a l a n c e > 2 4 3 5 < / B a l a n c e >  
                 < / A c c o u n t B a l a n c e >  
                 < A c c o u n t B a l a n c e >  
                     < F i e l d N a m e > P r i o r P e r i o d 2 B a l a n c e < / F i e l d N a m e >  
                     < B a l a n c e > 2 2 9 5 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 - 7 3 7 9 8 6 8 2 0 0 9 9 9 9 9 8 4 4 9 < / I D >  
             < T a r g e t A c c o u n t I D > - 7 3 7 9 8 6 8 2 0 0 9 9 9 9 9 8 4 4 3 < / T a r g e t A c c o u n t I D >  
             < C h a r t I D > - 7 3 7 9 8 6 8 2 0 0 9 9 9 9 9 8 6 9 7 < / C h a r t I D >  
             < I s L i n k e d > f a l s e < / I s L i n k e d >  
             < N u m b e r > 0 5 0 1 0 0 5 0 0 0 0 1 < / N u m b e r >  
             < N a m e > B a c k   O f f i c e   O p e r a t i o n   E x p e n s e s < / N a m e >  
             < A J E > 0 < / A J E >  
             < A d j u s t > 1 8 3 8 < / A d j u s t >  
             < R J E > 0 < / R J E >  
             < P r e l i m i n a r y > 1 8 3 8 < / P r e l i m i n a r y >  
             < F i n a l > 1 8 3 8 < / F i n a l >  
         < / A c c o u n t S t o r a g e >  
         < A c c o u n t S t o r a g e >  
             < A c c o u n t B a l a n c e s >  
                 < A c c o u n t B a l a n c e >  
                     < F i e l d N a m e > P r i o r P e r i o d 1 B a l a n c e < / F i e l d N a m e >  
                     < B a l a n c e > 3 1 7 < / B a l a n c e >  
                 < / A c c o u n t B a l a n c e >  
                 < A c c o u n t B a l a n c e >  
                     < F i e l d N a m e > P r i o r P e r i o d 2 B a l a n c e < / F i e l d N a m e >  
                     < B a l a n c e > 3 2 1 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 - 7 3 7 9 8 6 8 2 0 0 9 9 9 9 9 8 4 3 8 < / I D >  
             < T a r g e t A c c o u n t I D > - 7 3 7 9 8 6 8 2 0 0 9 9 9 9 9 8 4 4 3 < / T a r g e t A c c o u n t I D >  
             < C h a r t I D > - 7 3 7 9 8 6 8 2 0 0 9 9 9 9 9 8 6 9 7 < / C h a r t I D >  
             < I s L i n k e d > f a l s e < / I s L i n k e d >  
             < N u m b e r > 0 5 0 1 0 0 5 0 0 0 0 2 < / N u m b e r >  
             < N a m e > S S T   o n   B a c k   O f f i c e   O p e r a t i o n   E x p e n s e s < / N a m e >  
             < A J E > 0 < / A J E >  
             < A d j u s t > 2 3 9 < / A d j u s t >  
             < R J E > 0 < / R J E >  
             < P r e l i m i n a r y > 2 3 9 < / P r e l i m i n a r y >  
             < F i n a l > 2 3 9 < / F i n a l >  
         < / A c c o u n t S t o r a g e >  
         < A c c o u n t S t o r a g e >  
             < A c c o u n t B a l a n c e s >  
                 < A c c o u n t B a l a n c e >  
                     < F i e l d N a m e > P r i o r P e r i o d 1 B a l a n c e < / F i e l d N a m e >  
                     < B a l a n c e > 6 1 2 7 1 < / B a l a n c e >  
                 < / A c c o u n t B a l a n c e >  
                 < A c c o u n t B a l a n c e >  
                     < F i e l d N a m e > P r i o r P e r i o d 2 B a l a n c e < / F i e l d N a m e >  
                     < B a l a n c e > 1 3 3 1 3 6 < / B a l a n c e >  
                 < / A c c o u n t B a l a n c e >  
                 < A c c o u n t B a l a n c e >  
                     < F i e l d N a m e > P r i o r P e r i o d 3 B a l a n c e < / F i e l d N a m e >  
                     < B a l a n c e > 9 0 3 7 4 < / 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 - 7 3 7 9 8 6 8 2 0 0 9 9 9 9 9 8 5 0 2 < / I D >  
             < T a r g e t A c c o u n t I D > - 7 3 7 9 8 6 8 2 0 0 9 9 9 9 9 8 6 5 3 < / T a r g e t A c c o u n t I D >  
             < C h a r t I D > - 7 3 7 9 8 6 8 2 0 0 9 9 9 9 9 8 6 9 7 < / C h a r t I D >  
             < I s L i n k e d > f a l s e < / I s L i n k e d >  
             < N u m b e r > 0 4 0 4 0 0 1 0 0 0 0 1 < / N u m b e r >  
             < N a m e > E L E M E N T   O F   I N C O M E   -   R E A L I Z E D < / N a m e >  
             < A J E > 0 < / A J E >  
             < A d j u s t > 2 5 0 3 0 < / A d j u s t >  
             < R J E > 0 < / R J E >  
             < P r e l i m i n a r y > 2 5 0 3 0 < / P r e l i m i n a r y >  
             < F i n a l > 2 5 0 3 0 < / F i n a l >  
         < / A c c o u n t S t o r a g e >  
         < A c c o u n t S t o r a g e >  
             < A c c o u n t B a l a n c e s >  
                 < A c c o u n t B a l a n c e >  
                     < F i e l d N a m e > P r i o r P e r i o d 1 B a l a n c e < / F i e l d N a m e >  
                     < B a l a n c e > 4 8 0 8 1 < / B a l a n c e >  
                 < / A c c o u n t B a l a n c e >  
                 < A c c o u n t B a l a n c e >  
                     < F i e l d N a m e > P r i o r P e r i o d 2 B a l a n c e < / F i e l d N a m e >  
                     < B a l a n c e > - 1 0 4 8 6 5 < / B a l a n c e >  
                 < / A c c o u n t B a l a n c e >  
                 < A c c o u n t B a l a n c e >  
                     < F i e l d N a m e > P r i o r P e r i o d 3 B a l a n c e < / F i e l d N a m e >  
                     < B a l a n c e > 1 0 6 6 9 < / 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 - 7 3 7 9 8 6 8 2 0 0 9 9 9 9 9 8 5 0 1 < / I D >  
             < T a r g e t A c c o u n t I D > - 7 3 7 9 8 6 8 2 0 0 9 9 9 9 9 8 6 5 1 < / T a r g e t A c c o u n t I D >  
             < C h a r t I D > - 7 3 7 9 8 6 8 2 0 0 9 9 9 9 9 8 6 9 7 < / C h a r t I D >  
             < I s L i n k e d > f a l s e < / I s L i n k e d >  
             < N u m b e r > 0 4 0 4 0 0 2 0 0 0 0 1 < / N u m b e r >  
             < N a m e > E L E M E N T   O F   I N C O M E   -   U N R E A L I Z E D < / N a m e >  
             < A J E > 0 < / A J E >  
             < A d j u s t > 2 3 4 6 0 < / A d j u s t >  
             < R J E > 0 < / R J E >  
             < P r e l i m i n a r y > 2 3 4 6 0 < / P r e l i m i n a r y >  
             < F i n a l > 2 3 4 6 0 < / F i n a l >  
         < / A c c o u n t S t o r a g e >  
     < / A c c o u n t s >  
     < C o m p a n i e s / >  
 < / L e a d S h e e t D a t a S t o r a g e > 
</file>

<file path=customXml/item7.xml><?xml version="1.0" encoding="utf-8"?>
<boolean xmlns="http://schemas.dtt.com/da/IsFirstTimeLoaded">true</boolean>
</file>

<file path=customXml/item8.xml>��< ? x m l   v e r s i o n = " 1 . 0 "   e n c o d i n g = " u t f - 1 6 " ? > < P a r t M a p   x m l n s : x s d = " h t t p : / / w w w . w 3 . o r g / 2 0 0 1 / X M L S c h e m a "   x m l n s : x s i = " h t t p : / / w w w . w 3 . o r g / 2 0 0 1 / X M L S c h e m a - i n s t a n c e " >  
     < P a r t s >  
         < P a r t I t e m >  
             < P r o p e r t y N a m e > A d d e d R a n g e L i s t < / P r o p e r t y N a m e >  
             < V a l u e > { C 3 6 5 4 7 B D - 2 C 1 0 - 4 0 2 1 - 8 1 7 0 - B A C 5 6 9 E 5 D 7 E C } < / V a l u e >  
         < / P a r t I t e m >  
         < P a r t I t e m >  
             < P r o p e r t y N a m e > L e a d S h e e t N o t S y n c h e d < / P r o p e r t y N a m e >  
             < V a l u e > { 8 4 0 1 1 4 4 3 - 3 D 8 F - 4 2 3 B - A 0 9 7 - 3 1 E 8 D E 0 4 B 1 0 7 } < / V a l u e >  
         < / P a r t I t e m >  
         < P a r t I t e m >  
             < P r o p e r t y N a m e > L e a d S h e e t P a r a m K e y < / P r o p e r t y N a m e >  
             < V a l u e > { 0 1 3 8 8 E 5 0 - C F F 3 - 4 8 A 6 - 9 5 B 6 - C 4 8 9 6 7 2 6 4 7 8 B } < / V a l u e >  
         < / P a r t I t e m >  
         < P a r t I t e m >  
             < P r o p e r t y N a m e > L e a d S h e e t D a t a K e y < / P r o p e r t y N a m e >  
             < V a l u e > { 9 9 D 0 E 0 4 2 - F 2 A 3 - 4 2 0 C - A 8 A 3 - D 3 3 3 8 F 1 D E D 3 1 } < / V a l u e >  
         < / P a r t I t e m >  
     < / P a r t s >  
 < / P a r t M a p > 
</file>

<file path=customXml/item9.xml>��< ? x m l   v e r s i o n = " 1 . 0 "   e n c o d i n g = " u t f - 1 6 " ? > < b o o l e a n > t r u e < / b o o l e a n > 
</file>

<file path=customXml/itemProps1.xml><?xml version="1.0" encoding="utf-8"?>
<ds:datastoreItem xmlns:ds="http://schemas.openxmlformats.org/officeDocument/2006/customXml" ds:itemID="{C36547BD-2C10-4021-8170-BAC569E5D7EC}">
  <ds:schemaRefs>
    <ds:schemaRef ds:uri="http://www.w3.org/2001/XMLSchema"/>
  </ds:schemaRefs>
</ds:datastoreItem>
</file>

<file path=customXml/itemProps2.xml><?xml version="1.0" encoding="utf-8"?>
<ds:datastoreItem xmlns:ds="http://schemas.openxmlformats.org/officeDocument/2006/customXml" ds:itemID="{01388E50-CFF3-48A6-95B6-C4896726478B}">
  <ds:schemaRefs>
    <ds:schemaRef ds:uri="http://www.w3.org/2001/XMLSchema"/>
  </ds:schemaRefs>
</ds:datastoreItem>
</file>

<file path=customXml/itemProps3.xml><?xml version="1.0" encoding="utf-8"?>
<ds:datastoreItem xmlns:ds="http://schemas.openxmlformats.org/officeDocument/2006/customXml" ds:itemID="{AF712B60-4791-48ED-8C14-62358D880F23}">
  <ds:schemaRefs>
    <ds:schemaRef ds:uri="http://schemas.dtt.com/da/LeadSheetOpenXML"/>
  </ds:schemaRefs>
</ds:datastoreItem>
</file>

<file path=customXml/itemProps4.xml><?xml version="1.0" encoding="utf-8"?>
<ds:datastoreItem xmlns:ds="http://schemas.openxmlformats.org/officeDocument/2006/customXml" ds:itemID="{5B7A3497-ABE8-463B-9683-9383914E667B}">
  <ds:schemaRefs>
    <ds:schemaRef ds:uri="http://schemas.dtt.com/da/IsLeadSheet"/>
  </ds:schemaRefs>
</ds:datastoreItem>
</file>

<file path=customXml/itemProps5.xml><?xml version="1.0" encoding="utf-8"?>
<ds:datastoreItem xmlns:ds="http://schemas.openxmlformats.org/officeDocument/2006/customXml" ds:itemID="{2F511F8D-0835-44EC-92A2-8854F74DCF9D}">
  <ds:schemaRefs>
    <ds:schemaRef ds:uri="http://schemas.microsoft.com/DAEMSEngagementItemInfoXML"/>
  </ds:schemaRefs>
</ds:datastoreItem>
</file>

<file path=customXml/itemProps6.xml><?xml version="1.0" encoding="utf-8"?>
<ds:datastoreItem xmlns:ds="http://schemas.openxmlformats.org/officeDocument/2006/customXml" ds:itemID="{99D0E042-F2A3-420C-A8A3-D3338F1DED31}">
  <ds:schemaRefs>
    <ds:schemaRef ds:uri="http://www.w3.org/2001/XMLSchema"/>
  </ds:schemaRefs>
</ds:datastoreItem>
</file>

<file path=customXml/itemProps7.xml><?xml version="1.0" encoding="utf-8"?>
<ds:datastoreItem xmlns:ds="http://schemas.openxmlformats.org/officeDocument/2006/customXml" ds:itemID="{B514827C-6137-4959-861C-FD5CE5D4B86B}">
  <ds:schemaRefs>
    <ds:schemaRef ds:uri="http://schemas.dtt.com/da/IsFirstTimeLoaded"/>
  </ds:schemaRefs>
</ds:datastoreItem>
</file>

<file path=customXml/itemProps8.xml><?xml version="1.0" encoding="utf-8"?>
<ds:datastoreItem xmlns:ds="http://schemas.openxmlformats.org/officeDocument/2006/customXml" ds:itemID="{46F8FD6A-72C9-4403-B508-AC2D5D153631}">
  <ds:schemaRefs>
    <ds:schemaRef ds:uri="http://www.w3.org/2001/XMLSchema"/>
  </ds:schemaRefs>
</ds:datastoreItem>
</file>

<file path=customXml/itemProps9.xml><?xml version="1.0" encoding="utf-8"?>
<ds:datastoreItem xmlns:ds="http://schemas.openxmlformats.org/officeDocument/2006/customXml" ds:itemID="{84011443-3D8F-423B-A097-31E8DE04B1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26</vt:i4>
      </vt:variant>
    </vt:vector>
  </HeadingPairs>
  <TitlesOfParts>
    <vt:vector size="72" baseType="lpstr">
      <vt:lpstr>BS</vt:lpstr>
      <vt:lpstr>IS</vt:lpstr>
      <vt:lpstr>Sheet1</vt:lpstr>
      <vt:lpstr>OCI</vt:lpstr>
      <vt:lpstr>DS</vt:lpstr>
      <vt:lpstr>UHF</vt:lpstr>
      <vt:lpstr>CF</vt:lpstr>
      <vt:lpstr>UHF-NEW</vt:lpstr>
      <vt:lpstr>UHF-NEW (2)</vt:lpstr>
      <vt:lpstr>Cashflow</vt:lpstr>
      <vt:lpstr>Cashflow (2)</vt:lpstr>
      <vt:lpstr>1-4.1</vt:lpstr>
      <vt:lpstr>Note 6.1</vt:lpstr>
      <vt:lpstr>5.1</vt:lpstr>
      <vt:lpstr>5.2.1</vt:lpstr>
      <vt:lpstr>Sheet2</vt:lpstr>
      <vt:lpstr>5.3.1</vt:lpstr>
      <vt:lpstr>11-15</vt:lpstr>
      <vt:lpstr>5.4</vt:lpstr>
      <vt:lpstr>5.4.1</vt:lpstr>
      <vt:lpstr>5.5</vt:lpstr>
      <vt:lpstr>Note 9-14</vt:lpstr>
      <vt:lpstr>Form 7</vt:lpstr>
      <vt:lpstr>Unrealized Working</vt:lpstr>
      <vt:lpstr>14-17</vt:lpstr>
      <vt:lpstr>26-27</vt:lpstr>
      <vt:lpstr>15</vt:lpstr>
      <vt:lpstr>SMA</vt:lpstr>
      <vt:lpstr>Executive</vt:lpstr>
      <vt:lpstr>Associate</vt:lpstr>
      <vt:lpstr>15.1-15.2</vt:lpstr>
      <vt:lpstr>16-16.1</vt:lpstr>
      <vt:lpstr>13.2</vt:lpstr>
      <vt:lpstr>TB 18</vt:lpstr>
      <vt:lpstr>Lead</vt:lpstr>
      <vt:lpstr>FRM PIB</vt:lpstr>
      <vt:lpstr>FRM tbills</vt:lpstr>
      <vt:lpstr>Element Bifurcation</vt:lpstr>
      <vt:lpstr>Tickmarks7-13-2018 1.12.53 PM</vt:lpstr>
      <vt:lpstr>RNotes7-13-2018 1.12.53 PM</vt:lpstr>
      <vt:lpstr>TextXRef7-13-2018 1.12.53 PM</vt:lpstr>
      <vt:lpstr>NumXRef7-13-2018 1.12.53 PM</vt:lpstr>
      <vt:lpstr>Sheet3</vt:lpstr>
      <vt:lpstr>Sheet3 (2)</vt:lpstr>
      <vt:lpstr>UHA Working</vt:lpstr>
      <vt:lpstr>corrected pief</vt:lpstr>
      <vt:lpstr>'11-15'!Print_Area</vt:lpstr>
      <vt:lpstr>'13.2'!Print_Area</vt:lpstr>
      <vt:lpstr>'1-4.1'!Print_Area</vt:lpstr>
      <vt:lpstr>'14-17'!Print_Area</vt:lpstr>
      <vt:lpstr>'15'!Print_Area</vt:lpstr>
      <vt:lpstr>'15.1-15.2'!Print_Area</vt:lpstr>
      <vt:lpstr>'16-16.1'!Print_Area</vt:lpstr>
      <vt:lpstr>'26-27'!Print_Area</vt:lpstr>
      <vt:lpstr>'5.2.1'!Print_Area</vt:lpstr>
      <vt:lpstr>'5.3.1'!Print_Area</vt:lpstr>
      <vt:lpstr>BS!Print_Area</vt:lpstr>
      <vt:lpstr>Cashflow!Print_Area</vt:lpstr>
      <vt:lpstr>'Cashflow (2)'!Print_Area</vt:lpstr>
      <vt:lpstr>CF!Print_Area</vt:lpstr>
      <vt:lpstr>'corrected pief'!Print_Area</vt:lpstr>
      <vt:lpstr>DS!Print_Area</vt:lpstr>
      <vt:lpstr>'Form 7'!Print_Area</vt:lpstr>
      <vt:lpstr>IS!Print_Area</vt:lpstr>
      <vt:lpstr>'Note 6.1'!Print_Area</vt:lpstr>
      <vt:lpstr>'Note 9-14'!Print_Area</vt:lpstr>
      <vt:lpstr>OCI!Print_Area</vt:lpstr>
      <vt:lpstr>Sheet2!Print_Area</vt:lpstr>
      <vt:lpstr>UHF!Print_Area</vt:lpstr>
      <vt:lpstr>'UHF-NEW'!Print_Area</vt:lpstr>
      <vt:lpstr>'UHF-NEW (2)'!Print_Area</vt:lpstr>
      <vt:lpstr>'Note 6.1'!Print_Titles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Nawaid (PK - Karachi)</dc:creator>
  <cp:lastModifiedBy>Mahmood Hussain Khan</cp:lastModifiedBy>
  <cp:lastPrinted>2020-10-22T07:40:40Z</cp:lastPrinted>
  <dcterms:created xsi:type="dcterms:W3CDTF">2017-07-20T08:16:27Z</dcterms:created>
  <dcterms:modified xsi:type="dcterms:W3CDTF">2021-10-18T13:46:45Z</dcterms:modified>
</cp:coreProperties>
</file>